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lient\L\Fachberater\"/>
    </mc:Choice>
  </mc:AlternateContent>
  <bookViews>
    <workbookView xWindow="0" yWindow="0" windowWidth="24000" windowHeight="11010" tabRatio="854" firstSheet="1" activeTab="2"/>
  </bookViews>
  <sheets>
    <sheet name="Beschreibung" sheetId="13" state="hidden" r:id="rId1"/>
    <sheet name="Stammdaten" sheetId="12" r:id="rId2"/>
    <sheet name="Finanzbuchführung" sheetId="2" r:id="rId3"/>
    <sheet name="Tab C (Fibu)" sheetId="1" state="hidden" r:id="rId4"/>
    <sheet name="Lohnabrechnung" sheetId="4" r:id="rId5"/>
    <sheet name="Jahresabschluss" sheetId="7" r:id="rId6"/>
    <sheet name="Auswahlfelder Abschluss" sheetId="9" state="hidden" r:id="rId7"/>
    <sheet name="Tab B (Abschluss)" sheetId="8" state="hidden" r:id="rId8"/>
    <sheet name="Einkommensteuer" sheetId="10" r:id="rId9"/>
    <sheet name="Tab A (Beratung)" sheetId="11" state="hidden" r:id="rId10"/>
  </sheets>
  <definedNames>
    <definedName name="_xlnm.Print_Area" localSheetId="8">Einkommensteuer!$B$1:$J$57</definedName>
    <definedName name="_xlnm.Print_Area" localSheetId="2">Finanzbuchführung!$B$1:$J$104</definedName>
    <definedName name="_xlnm.Print_Area" localSheetId="5">Jahresabschluss!$B$1:$J$90</definedName>
    <definedName name="_xlnm.Print_Area" localSheetId="4">Lohnabrechnung!$B$1:$I$128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7" i="4" l="1"/>
  <c r="I67" i="4"/>
  <c r="I16" i="4" l="1"/>
  <c r="J11" i="7" l="1"/>
  <c r="B23" i="2" l="1"/>
  <c r="J46" i="7" l="1"/>
  <c r="J28" i="7"/>
  <c r="J27" i="7"/>
  <c r="J25" i="7"/>
  <c r="J26" i="7" s="1"/>
  <c r="J32" i="7"/>
  <c r="I25" i="2" l="1"/>
  <c r="B52" i="7" l="1"/>
  <c r="J29" i="7"/>
  <c r="J43" i="7"/>
  <c r="J12" i="10"/>
  <c r="J42" i="7"/>
  <c r="J11" i="10"/>
  <c r="J41" i="7"/>
  <c r="J10" i="10"/>
  <c r="J39" i="7"/>
  <c r="J40" i="7" s="1"/>
  <c r="J8" i="10"/>
  <c r="J9" i="10" s="1"/>
  <c r="J31" i="7" l="1"/>
  <c r="J34" i="7" s="1"/>
  <c r="J45" i="7"/>
  <c r="J48" i="7" s="1"/>
  <c r="J61" i="7"/>
  <c r="J63" i="7"/>
  <c r="J17" i="2" l="1"/>
  <c r="J94" i="2"/>
  <c r="H75" i="7" l="1"/>
  <c r="G75" i="7"/>
  <c r="F75" i="7"/>
  <c r="I33" i="4" l="1"/>
  <c r="I55" i="4" s="1"/>
  <c r="G37" i="4"/>
  <c r="F37" i="4"/>
  <c r="H81" i="2"/>
  <c r="G81" i="2"/>
  <c r="F81" i="2"/>
  <c r="H75" i="2"/>
  <c r="G75" i="2"/>
  <c r="F75" i="2"/>
  <c r="H68" i="2"/>
  <c r="G68" i="2"/>
  <c r="F68" i="2"/>
  <c r="H47" i="2"/>
  <c r="G47" i="2"/>
  <c r="F47" i="2"/>
  <c r="D29" i="2"/>
  <c r="J14" i="2"/>
  <c r="D27" i="2"/>
  <c r="D28" i="2" s="1"/>
  <c r="D30" i="2" s="1"/>
  <c r="J26" i="2" s="1"/>
  <c r="J12" i="2"/>
  <c r="J13" i="2" s="1"/>
  <c r="J16" i="2" l="1"/>
  <c r="G24" i="2" l="1"/>
  <c r="H24" i="2" s="1"/>
  <c r="J24" i="2" s="1"/>
  <c r="J43" i="2" s="1"/>
  <c r="J47" i="2" s="1"/>
  <c r="C33" i="2"/>
  <c r="B4" i="10"/>
  <c r="B3" i="10"/>
  <c r="B3" i="7"/>
  <c r="B4" i="7"/>
  <c r="J1" i="10"/>
  <c r="J1" i="7"/>
  <c r="B3" i="4"/>
  <c r="I1" i="4"/>
  <c r="B2" i="4"/>
  <c r="B4" i="2"/>
  <c r="B2" i="2"/>
  <c r="B3" i="2"/>
  <c r="J1" i="2"/>
  <c r="J56" i="2" l="1"/>
  <c r="B2" i="10"/>
  <c r="B2" i="7"/>
  <c r="J71" i="7" l="1"/>
  <c r="I72" i="4" l="1"/>
  <c r="J86" i="2"/>
  <c r="J84" i="7" l="1"/>
  <c r="J51" i="10"/>
  <c r="J45" i="10" l="1"/>
  <c r="J47" i="10"/>
  <c r="J41" i="10"/>
  <c r="B55" i="11" l="1"/>
  <c r="B57" i="11" s="1"/>
  <c r="J14" i="10" l="1"/>
  <c r="J16" i="10" s="1"/>
  <c r="J20" i="7"/>
  <c r="B67" i="8"/>
  <c r="B69" i="8" s="1"/>
  <c r="J12" i="7"/>
  <c r="J13" i="7" s="1"/>
  <c r="J14" i="7" s="1"/>
  <c r="J29" i="10" l="1"/>
  <c r="J43" i="10"/>
  <c r="J39" i="10"/>
  <c r="J49" i="10"/>
  <c r="J37" i="10"/>
  <c r="I49" i="4"/>
  <c r="I70" i="4"/>
  <c r="I74" i="4" s="1"/>
  <c r="I51" i="4"/>
  <c r="I57" i="4"/>
  <c r="I53" i="4"/>
  <c r="I47" i="4"/>
  <c r="I45" i="4"/>
  <c r="I43" i="4"/>
  <c r="I37" i="4"/>
  <c r="J33" i="10"/>
  <c r="J35" i="10"/>
  <c r="J17" i="7"/>
  <c r="J16" i="7"/>
  <c r="J15" i="7"/>
  <c r="I59" i="4" l="1"/>
  <c r="I61" i="4" s="1"/>
  <c r="I65" i="4" s="1"/>
  <c r="J54" i="10"/>
  <c r="J55" i="10" s="1"/>
  <c r="J57" i="10" s="1"/>
  <c r="J19" i="7"/>
  <c r="J21" i="7" s="1"/>
  <c r="J53" i="7" l="1"/>
  <c r="J82" i="7"/>
  <c r="J69" i="7"/>
  <c r="J67" i="7"/>
  <c r="J57" i="7"/>
  <c r="J80" i="7"/>
  <c r="J73" i="7"/>
  <c r="J65" i="7"/>
  <c r="J59" i="7"/>
  <c r="J75" i="7"/>
  <c r="I78" i="4"/>
  <c r="I80" i="4" s="1"/>
  <c r="J96" i="2" l="1"/>
  <c r="J58" i="2"/>
  <c r="J88" i="2"/>
  <c r="J60" i="2"/>
  <c r="J68" i="2"/>
  <c r="J66" i="2"/>
  <c r="J64" i="2"/>
  <c r="J62" i="2"/>
  <c r="J81" i="2"/>
  <c r="J75" i="2"/>
  <c r="J53" i="2"/>
  <c r="J98" i="2"/>
  <c r="J92" i="2"/>
  <c r="J90" i="2"/>
  <c r="J87" i="7"/>
  <c r="J88" i="7" s="1"/>
  <c r="J90" i="7" s="1"/>
  <c r="J101" i="2" l="1"/>
  <c r="J102" i="2" l="1"/>
  <c r="J104" i="2" s="1"/>
</calcChain>
</file>

<file path=xl/comments1.xml><?xml version="1.0" encoding="utf-8"?>
<comments xmlns="http://schemas.openxmlformats.org/spreadsheetml/2006/main">
  <authors>
    <author>t01355a</author>
  </authors>
  <commentList>
    <comment ref="J12" authorId="0" shapeId="0">
      <text>
        <r>
          <rPr>
            <b/>
            <sz val="9"/>
            <color indexed="81"/>
            <rFont val="Segoe UI"/>
            <family val="2"/>
          </rPr>
          <t>Damit mit der Funktion "Vergleich" der nächst höhere Tabellewert gefunden wird, wird vom Gegenstandswert 1 EUR abgezogen.</t>
        </r>
      </text>
    </comment>
  </commentList>
</comments>
</file>

<file path=xl/comments2.xml><?xml version="1.0" encoding="utf-8"?>
<comments xmlns="http://schemas.openxmlformats.org/spreadsheetml/2006/main">
  <authors>
    <author>t01355a</author>
  </authors>
  <commentList>
    <comment ref="B16" authorId="0" shapeId="0">
      <text>
        <r>
          <rPr>
            <b/>
            <sz val="11"/>
            <color indexed="81"/>
            <rFont val="Segoe UI"/>
            <family val="2"/>
          </rPr>
          <t>(Abrechnungsgundpreis + Anzahl AN * Preis pro AN)
 / Anzahl AN</t>
        </r>
      </text>
    </comment>
  </commentList>
</comments>
</file>

<file path=xl/comments3.xml><?xml version="1.0" encoding="utf-8"?>
<comments xmlns="http://schemas.openxmlformats.org/spreadsheetml/2006/main">
  <authors>
    <author>t01355a</author>
  </authors>
  <commentList>
    <comment ref="J13" authorId="0" shapeId="0">
      <text>
        <r>
          <rPr>
            <b/>
            <sz val="9"/>
            <color indexed="81"/>
            <rFont val="Segoe UI"/>
            <family val="2"/>
          </rPr>
          <t>Damit mit der Funktion "Vergleich" der nächst höhere Tabellewert gefunden wird, wird vom Gegenstandswert 1 EUR abgezogen.</t>
        </r>
      </text>
    </comment>
  </commentList>
</comments>
</file>

<file path=xl/comments4.xml><?xml version="1.0" encoding="utf-8"?>
<comments xmlns="http://schemas.openxmlformats.org/spreadsheetml/2006/main">
  <authors>
    <author>t01355a</author>
  </authors>
  <commentList>
    <comment ref="J8" authorId="0" shapeId="0">
      <text>
        <r>
          <rPr>
            <b/>
            <sz val="9"/>
            <color indexed="81"/>
            <rFont val="Segoe UI"/>
            <family val="2"/>
          </rPr>
          <t>Damit mit der Funktion "Vergleich" der nächst höhere Tabellewert gefunden wird, wird vom Gegenstandswert 1 EUR abgezogen.</t>
        </r>
      </text>
    </comment>
  </commentList>
</comments>
</file>

<file path=xl/sharedStrings.xml><?xml version="1.0" encoding="utf-8"?>
<sst xmlns="http://schemas.openxmlformats.org/spreadsheetml/2006/main" count="390" uniqueCount="265">
  <si>
    <t>Tabelle C (Buchführungstabelle)</t>
  </si>
  <si>
    <t>Gegenstandswert</t>
  </si>
  <si>
    <t>volle Gebühr</t>
  </si>
  <si>
    <t>Honorar für das Grundpaket</t>
  </si>
  <si>
    <t>Zehntelsatz (2/10 bis 12/10)</t>
  </si>
  <si>
    <t>Zeile in der Gebührentabelle</t>
  </si>
  <si>
    <t>Mehrbetrag über 500.000 EUR
je angefangene 50.000 EUR</t>
  </si>
  <si>
    <t>volle Gebühr größer 500 TEUR</t>
  </si>
  <si>
    <t>volle Gebühr kleiner/gleich 500 TEUR</t>
  </si>
  <si>
    <t>Buchungsrhythmus</t>
  </si>
  <si>
    <t>Kostenrechnung</t>
  </si>
  <si>
    <t>Keine Dauerfristverlängerung</t>
  </si>
  <si>
    <t>Zahlungsverkehr</t>
  </si>
  <si>
    <t>Mahnwesen</t>
  </si>
  <si>
    <t>Fertigstellung bis:</t>
  </si>
  <si>
    <t>Zahlungsweise</t>
  </si>
  <si>
    <t>Controllingreport</t>
  </si>
  <si>
    <t>Hol- und Bringservice für Pendelordner</t>
  </si>
  <si>
    <t>Scannen von Belegen</t>
  </si>
  <si>
    <t>revisionssichere Archivierung der Finanzbuchführungsdaten</t>
  </si>
  <si>
    <t>Branchenauswertungen</t>
  </si>
  <si>
    <t>monatlich</t>
  </si>
  <si>
    <t>14-tägig</t>
  </si>
  <si>
    <t>wöchentlich</t>
  </si>
  <si>
    <t>arbeitstäglich</t>
  </si>
  <si>
    <t>15. des Folgemonats</t>
  </si>
  <si>
    <t>5. des Folgemonats</t>
  </si>
  <si>
    <t>Lastschrift</t>
  </si>
  <si>
    <t>nicht gebucht</t>
  </si>
  <si>
    <t>Summe:</t>
  </si>
  <si>
    <t>USt-Satz:</t>
  </si>
  <si>
    <t>Zusatzleistungen</t>
  </si>
  <si>
    <t>Abrechnungsgrundpreis</t>
  </si>
  <si>
    <t>Honorar pro Arbeitnehmer für das Grundpaket</t>
  </si>
  <si>
    <t>Anträge AAG / Lohnfortzahlung inklusive</t>
  </si>
  <si>
    <t>Direktversand an Arbeitnehmer</t>
  </si>
  <si>
    <t>Postversand an Arbeitgeber</t>
  </si>
  <si>
    <t>Datenvorerfassung durch den Mandanten</t>
  </si>
  <si>
    <t>Sonderabrechnungen</t>
  </si>
  <si>
    <t>Baulohn</t>
  </si>
  <si>
    <t>öffentlicher Dienst</t>
  </si>
  <si>
    <t>keine</t>
  </si>
  <si>
    <t>revisionssichere Archivierung der Lohnabrechnungsdaten</t>
  </si>
  <si>
    <t>Abrechnungspreis pro Arbeitnehmer:</t>
  </si>
  <si>
    <t>Summe arbeitnehmerbezogene Zusatzleistungen</t>
  </si>
  <si>
    <t>arbeitnehmerbezogene Zusatzleistungen</t>
  </si>
  <si>
    <t>mandantenbezogene Zusatzleistungen</t>
  </si>
  <si>
    <t>Notwendige Zusatzarbeiten werden wie folgt berechnet:</t>
  </si>
  <si>
    <t>Bearbeitung von Lohnpfändungen</t>
  </si>
  <si>
    <t>Berufsgenossenschaft und Zoll</t>
  </si>
  <si>
    <t>Vorschussabruf je Arbeitnehmer</t>
  </si>
  <si>
    <t>Wiederholungsabrechnung für einzelne Arbeitnehmer auf Veranlassung des AG</t>
  </si>
  <si>
    <t>Meldung Berufsgenossenschaft</t>
  </si>
  <si>
    <t>Meldung Schwerbehindertenabgabe</t>
  </si>
  <si>
    <t>Lohn-Archiv-CD</t>
  </si>
  <si>
    <t>Unterstützung und Beratung bei Lohnsteuerprüfungen</t>
  </si>
  <si>
    <t>Unterstützung und Beratung bei Prüfungen von Sozialversicherungen, Künstlersozialkasse,</t>
  </si>
  <si>
    <t>Bearbeitung Fragebögen für statistische Zwecke</t>
  </si>
  <si>
    <t>Lohn- und Gehaltsberatung inkl. Vorwegabrechnung / Simulationen</t>
  </si>
  <si>
    <t>Simulation von Lohnerhöhungen</t>
  </si>
  <si>
    <t>Simulation von Gestaltungsalternativen</t>
  </si>
  <si>
    <t>Vergleich von Vergütungsalternativen bei Neuanstellungen</t>
  </si>
  <si>
    <t>Betriebliche Altersvorsorge</t>
  </si>
  <si>
    <t>Urlaubsstatistik</t>
  </si>
  <si>
    <t>Bilanzsumme</t>
  </si>
  <si>
    <t>Jahresumsatz (oder höherer Aufwand)</t>
  </si>
  <si>
    <t>Art des Jahresabschlusses</t>
  </si>
  <si>
    <t>vom Mehrbetrag bis 125 Mio Euro je angefangene 5 Mio Euro</t>
  </si>
  <si>
    <t>vom Mehrbetrag von 125 Mio bis 250 Mio Euro je angefangene 12,5 Mio Euro</t>
  </si>
  <si>
    <t>vom Mehrbetrag über 250 Mio Euro je angefangene 25 Mio Euro</t>
  </si>
  <si>
    <t>Tabelle B (Abschlusstabelle)</t>
  </si>
  <si>
    <t>Einnahmen-Überschuss-Rechnung</t>
  </si>
  <si>
    <t>Daten für Art des Abschlusses</t>
  </si>
  <si>
    <t>Bilanz GmbH &amp; Co. KG</t>
  </si>
  <si>
    <t>Bilanz Einzelunternehmer</t>
  </si>
  <si>
    <t>Bilanz GmbH</t>
  </si>
  <si>
    <t>Bilanz Personengesellschaft</t>
  </si>
  <si>
    <t>Zehntelsatz</t>
  </si>
  <si>
    <t>Inhalt Grundpaket</t>
  </si>
  <si>
    <t>Das Grundpaket beinhaltet die folgenden Leistungen:</t>
  </si>
  <si>
    <t>volle Gebühr kleiner/gleich 50 Mio EUR</t>
  </si>
  <si>
    <t>volle Gebühr von 50 Mio bis 125 Mio EUR</t>
  </si>
  <si>
    <t>volle Gebühr von 125 Mio bis 250 Mio EUR</t>
  </si>
  <si>
    <t>volle Gebühr über 250 Mio EUR</t>
  </si>
  <si>
    <t>Auslagenpauschale für Post und Telekommunikation</t>
  </si>
  <si>
    <t>Erläuterungsbericht</t>
  </si>
  <si>
    <t>Plausibilitätsbeurteilung</t>
  </si>
  <si>
    <t>Jahresabschlussgespräch</t>
  </si>
  <si>
    <t>Bilanzanalyse und Präsentation</t>
  </si>
  <si>
    <t>Sonderbilanzen</t>
  </si>
  <si>
    <t>Ergänzungsbilanzen</t>
  </si>
  <si>
    <t>Dringliche Fertigstellung</t>
  </si>
  <si>
    <t>Vor-Ort-Gespräch</t>
  </si>
  <si>
    <t>Abendtermin</t>
  </si>
  <si>
    <t>Fibu-Erstellung durch die Kanzlei</t>
  </si>
  <si>
    <t>innerhalb eines Monats</t>
  </si>
  <si>
    <t>innerhalb von zwei Monaten</t>
  </si>
  <si>
    <t>Grundpreis</t>
  </si>
  <si>
    <t>vom Mehrbetrag bis 5 Mio Euro je angefangene 50.000 Euro</t>
  </si>
  <si>
    <t>vom Mehrbetrag von 5 Mio bis 25 Mio Euro je angefangene 50.000 Euro</t>
  </si>
  <si>
    <t>vom Mehrbetrag über 25 Mio Euro je angefangene 50.000 Euro</t>
  </si>
  <si>
    <t>volle Gebühr kleiner/gleich 600 T EUR</t>
  </si>
  <si>
    <t>volle Gebühr von 600 T EUR bis 5 Mio EUR</t>
  </si>
  <si>
    <t>volle Gebühr von 5 Mio bis 25 Mio EUR</t>
  </si>
  <si>
    <t>volle Gebühr über 25 Mio EUR</t>
  </si>
  <si>
    <t>Anlage N (Arbeitnemer)</t>
  </si>
  <si>
    <t>Anlage R (Rentner)</t>
  </si>
  <si>
    <t>Anlage V (Vermietung und Verpachtung)</t>
  </si>
  <si>
    <t>Anlage KAP (Kapitalerträge)</t>
  </si>
  <si>
    <t>Abendtermin-Aufschlag</t>
  </si>
  <si>
    <t>Prüfung des Steuerbescheides</t>
  </si>
  <si>
    <t>Sonstiges (Grundstücksverkauf, Beteiligungen etc.)</t>
  </si>
  <si>
    <t>volle</t>
  </si>
  <si>
    <t>Runden auf</t>
  </si>
  <si>
    <t>Runden auf volle</t>
  </si>
  <si>
    <t>Offene-Posten-Buchführung</t>
  </si>
  <si>
    <t>Abgabe der USt-Voranmeldung/ ZM-Meldung</t>
  </si>
  <si>
    <t>monatlicher Betriebswirtschaftlicher Kurzbericht</t>
  </si>
  <si>
    <t>monatliche Kurzfristige Erfolgsrechnung mit Vorjahresvergleich</t>
  </si>
  <si>
    <t>monatliche Summen- und Saldenliste</t>
  </si>
  <si>
    <t>monatliche Offene-Posten-Liste</t>
  </si>
  <si>
    <t>Erstellung Ihrer Einkommensteuererklärungen inkl.</t>
  </si>
  <si>
    <t>Sonderausgaben (z.B. Versicherungen, Spenden)</t>
  </si>
  <si>
    <t>Handwerkerleistungen</t>
  </si>
  <si>
    <t>Anlage Kinder</t>
  </si>
  <si>
    <t>Anlage U</t>
  </si>
  <si>
    <t>Elektronische Übermittlung der Steuererklärung an das Finanzamt</t>
  </si>
  <si>
    <t>Prüfung alternativer Veranlagungsformen bei Ehegatten</t>
  </si>
  <si>
    <t>außergewöhnlichen Belastungen (z.B. Krankheitskosten)</t>
  </si>
  <si>
    <t>Ihr Gegenstandswert (Summe der Einnahmen)</t>
  </si>
  <si>
    <t>Tabelle A Beratungstabelle)</t>
  </si>
  <si>
    <t>Vort-Ort-Gespräch</t>
  </si>
  <si>
    <t xml:space="preserve">Runden </t>
  </si>
  <si>
    <t>Summe mandantenbezogene Zusatzleistungen</t>
  </si>
  <si>
    <t>Elektronische Übermittlung der Lohnsteuer-Anmeldungen</t>
  </si>
  <si>
    <t>Elektronische Übermittlung der Beitragsnachweise an die Krankenkassen</t>
  </si>
  <si>
    <t>Führung Ihres Jahreslohnjournals</t>
  </si>
  <si>
    <t>Erstellung und elektronische Übermittlung der Lohnsteuerbescheinigungen für Ihre Mitarbeiter</t>
  </si>
  <si>
    <t>Erstellung der Lohn- und Gehaltsabrechnungen für Ihre Mitarbeiter</t>
  </si>
  <si>
    <t>Führung der Jahreslohnkonten Ihrer Mitarbeiter</t>
  </si>
  <si>
    <t>Übermittlung Jahresentgeltmeldung zur Sozialversicherung</t>
  </si>
  <si>
    <t>Erstellung der Zahlungsanweisungen für die Lohn- und Gehaltszahlungen, Finanzamt, Krankenkassen</t>
  </si>
  <si>
    <t>betriebliche Altersvorsorge, vermögenswirksame Leistungen</t>
  </si>
  <si>
    <t>Erstellung einer Buchungsliste für die Finanzbuchführung</t>
  </si>
  <si>
    <t>-</t>
  </si>
  <si>
    <t>Preis pro Mitarbeiter</t>
  </si>
  <si>
    <t>Staffelpreis pro Mitarbeiter</t>
  </si>
  <si>
    <t>Anzahl Ihrer Mitarbeiter</t>
  </si>
  <si>
    <t>Ihr monatliches Honorar</t>
  </si>
  <si>
    <t>Art der Berechnung</t>
  </si>
  <si>
    <t>Mandantennr.</t>
  </si>
  <si>
    <t>Mandant</t>
  </si>
  <si>
    <t>Anschrift</t>
  </si>
  <si>
    <t>Telefon</t>
  </si>
  <si>
    <t>Email</t>
  </si>
  <si>
    <t>Fax</t>
  </si>
  <si>
    <t>Fibu</t>
  </si>
  <si>
    <t>Lohn</t>
  </si>
  <si>
    <t>Jahresabschluss</t>
  </si>
  <si>
    <t>Einkommensteuer</t>
  </si>
  <si>
    <t>Anmerkungen</t>
  </si>
  <si>
    <t>Datum</t>
  </si>
  <si>
    <t>Wirtschaftsjahr</t>
  </si>
  <si>
    <t>betreut durch</t>
  </si>
  <si>
    <t>zzgl. Umsatzsteuer</t>
  </si>
  <si>
    <t>Ihr Honorar</t>
  </si>
  <si>
    <t>Zentelsatz</t>
  </si>
  <si>
    <t>absolut</t>
  </si>
  <si>
    <t>Auf-/Abschlag</t>
  </si>
  <si>
    <t>in % vom</t>
  </si>
  <si>
    <t>in Zehnteln</t>
  </si>
  <si>
    <t>Aufschlag für Zahlungsweise Überweisung</t>
  </si>
  <si>
    <t>Ausfüllen von Bescheinigungen und Anträge; je Bescheinigung/Antrag</t>
  </si>
  <si>
    <t>durchschnittlicher Umsatz pro Primanotabuchung</t>
  </si>
  <si>
    <t>Zuschlag für Zahlungsweise Überweisung</t>
  </si>
  <si>
    <t>Zuschlag für Zahlungsweise Lastschrift</t>
  </si>
  <si>
    <t>monatlicher oder quartalsweiser Buchungsrhythmus</t>
  </si>
  <si>
    <t>Versandservice für Pendelordner</t>
  </si>
  <si>
    <t>zzgl. Speicherkosten für Belege  im DATEV-Rechenzentrum</t>
  </si>
  <si>
    <t>Existenzgründerrabatt (für das Jahr der Gründung)</t>
  </si>
  <si>
    <t>Ihre Branche</t>
  </si>
  <si>
    <t>Verein</t>
  </si>
  <si>
    <t>Landwirtschaft</t>
  </si>
  <si>
    <t>Gewerbe oder Freiberufler</t>
  </si>
  <si>
    <t>gGmbH/öffentl. Ges.</t>
  </si>
  <si>
    <t>Branche</t>
  </si>
  <si>
    <t>Ihr Gegenstandswert (Jahresumsatz oder höherer Aufwand)</t>
  </si>
  <si>
    <t>Zusätzliche Buchungszeilen (über Obergrenze)</t>
  </si>
  <si>
    <t>Buchungszeile</t>
  </si>
  <si>
    <t>in Prozent vom</t>
  </si>
  <si>
    <t>Zehntel</t>
  </si>
  <si>
    <t>Aufschlag pro</t>
  </si>
  <si>
    <t>zusätzl. Buchungszeile</t>
  </si>
  <si>
    <t>Preis für Grundpaket</t>
  </si>
  <si>
    <t>Grundpreis pro</t>
  </si>
  <si>
    <t>Preis pro zusätzl.</t>
  </si>
  <si>
    <t>monatlich oder quartalsweise</t>
  </si>
  <si>
    <t>Klärung von Fragen im Zusammenhang mit der Finanzbuchführung (max. 30 min im Monat)</t>
  </si>
  <si>
    <t>Klärung von Fragen im Zusammenhang mit der Lohnabrechnung (max. 30 min im Monat)</t>
  </si>
  <si>
    <t>Klärung von Fragen im Zusammenhang mit der Lohnabrechnung (ab 30 min im Monat)</t>
  </si>
  <si>
    <t>Ersteinrichtung Lohnabrechnung Mandant</t>
  </si>
  <si>
    <t>Zehntelsatz Abschluss</t>
  </si>
  <si>
    <t>Zehntelsatz Ertragsteuern</t>
  </si>
  <si>
    <t>Zehntelsatz USt</t>
  </si>
  <si>
    <t>Erstellung einer separaten Steuerbilanz</t>
  </si>
  <si>
    <t>Steuerlicher Gewinn</t>
  </si>
  <si>
    <t>Zehntelsatz Umsatzsteuererklärung</t>
  </si>
  <si>
    <t>Gebühr Umsatzseuererklärung</t>
  </si>
  <si>
    <t>Zehntelsatz GewStErkl.+KStErkl.</t>
  </si>
  <si>
    <t>Berechnung Vergütung UStErkl.</t>
  </si>
  <si>
    <t>Berechnung Vergütung GewSt, KSt</t>
  </si>
  <si>
    <t>Abrechnungspreis für alle Ihre Arbeitnehmer</t>
  </si>
  <si>
    <t>Ziel und Nutzen dieses Honorarrechners</t>
  </si>
  <si>
    <t>Dieser Honorarrechner hilft Ihnen dabei, Ihren Neumandanten bereits im Erstgespräch ein verbindliches Angebot zu unterbreiten und mit Ihren bestehenden Mandanten</t>
  </si>
  <si>
    <t>verbindliche Honorarvereinbarungen abzuschließen. Daraus ergeben sich mehrere Vorteile:</t>
  </si>
  <si>
    <t>- Ihre Mandanten werden zufriedener, da sie Sicherheit über das zu zahlende Honorar erhalten und bei der Gestaltung der Honorarhöhe in einem gewissen Grad mitwirken können.</t>
  </si>
  <si>
    <t>- Sie stellen durch ein einheitliches Preismodell sicher, dass in der Kanzlei für alle Mandanten einheitlich vorgegangen wird.</t>
  </si>
  <si>
    <t>- Durch Honorarvereinbarungen im Vorhinein wird die Abrechnung der erbrachten Leistungen vereinfacht, da der Rechnungsbetrag bereits feststeht.</t>
  </si>
  <si>
    <t>- Unangenehme Honorarrechtfertigungen entfallen, da das Honorar bereits vor Beginn der Auftragserledigung besprochen wurde.</t>
  </si>
  <si>
    <t>- Da mit jedem Mandanten der konkrete Auftragsumfang festgelegt wird, werden auch Nebenleistungen konsequent berücksichtigt und abgerechnet.</t>
  </si>
  <si>
    <t>- Eine Honorarvereinbarung im Vorhinein schafft eine größere Akzeptanz für eine jährliche Honoraranpassung.</t>
  </si>
  <si>
    <t>Umsatzsteuerwert</t>
  </si>
  <si>
    <t>Gebühr GewSt, KSt, G+E (Gebühr pro Erklärung, bei GewSt 1x, bei GewSt+KSt 2x, etc.)</t>
  </si>
  <si>
    <t>x</t>
  </si>
  <si>
    <t>42,50 EUR / angefangenen 30 min</t>
  </si>
  <si>
    <t>Honorarangebot</t>
  </si>
  <si>
    <t>** Telefon und E-Mail-Support bei allen Fragen zur Finanz- und Lohnbuchhaltung bis zu 2h im Monat inklusive. Größere Anfragen werden gesondert bepreist.</t>
  </si>
  <si>
    <t>Berechnung von Anfragen erfolgt je angefangene halbe Stunde.</t>
  </si>
  <si>
    <t>*** Herbstgespräch bzw. Quartalsgespräch</t>
  </si>
  <si>
    <t>Voraussetzung für unser Angebot ist, dass vom Mandanten alle erforderlichen Rationalisierungsmaßnahmen umgesetzt werden, insbesondere:</t>
  </si>
  <si>
    <t>Kontoauszugsmanager</t>
  </si>
  <si>
    <t>Online Kassenbuch bzw. Datev Kassenerfassung</t>
  </si>
  <si>
    <t>Bereitstellung von Debitorendaten sofern das Rechnungsprogramm eine Schnittstelle besitzt</t>
  </si>
  <si>
    <t>Abrechnung von Scanaufwand erfolgt nach Stundensatz je angefangene 30 Minuten.</t>
  </si>
  <si>
    <t>Notwendige Mehrarbeiten werden nach Zeitaufwand berechnet.</t>
  </si>
  <si>
    <t>Stundensätze: Steuerberater: 140,00 €, Mitarbeiter: 85,00 €</t>
  </si>
  <si>
    <t>Sortierung von Unterlagen gemäß unserem Musterordner (wenn kein Online-Büro)</t>
  </si>
  <si>
    <t>Einreichung der Unterlagen bis zum 25. des Folgemonats bzw. wenn keine Dauerfristverlängerung bis 03. des Folgemonats. Bei zu später Einreichung der Unterlagen wird das Honorar für den jeweiligen Monat um 25% erhöht.</t>
  </si>
  <si>
    <t>*</t>
  </si>
  <si>
    <t>Anlagenbuchführung (ausschließlich)</t>
  </si>
  <si>
    <t>unterjährige Rechnungsabgrenzung/ monatliche Anlagenbuchführung</t>
  </si>
  <si>
    <t xml:space="preserve">Buchführung online </t>
  </si>
  <si>
    <t>Fibu-Hotline (Telefon- und Mail- Flat)**</t>
  </si>
  <si>
    <t>Herbstgespräch***</t>
  </si>
  <si>
    <t>Quartalsgespräch***</t>
  </si>
  <si>
    <t xml:space="preserve">*Sollten bei Ihnen deutlich mehr (d.h. über 20% mehr) oder deutlich weniger Buchungszeilen anfallen, wäre das Honorar höher oder niedriger als hier angegeben.                                                                                                            </t>
  </si>
  <si>
    <t>Lohn-Hotline (bis 2h im Monat)</t>
  </si>
  <si>
    <t>Unterlageneinreichung vor dem 30.04.</t>
  </si>
  <si>
    <t xml:space="preserve">- Einnahmen-Überschuss-Rechnung
- Kontennachweis
- Umsatzsteuererklärung, GewSt-Erklärung
- Anlage EÜR für die Einkommensteuererklärung </t>
  </si>
  <si>
    <t>X</t>
  </si>
  <si>
    <t>- Bilanz
- Gewinn- und Verlustrechnung
- Kontennachweise zu Bilanz und GuV
- Anlagenspiegel
- Steuererklärungen (USt, GewSt; KSt)
- Übermittlung E-Bilanz an das Finanzamt (Steuerbilanz)
- Anhang
- Offenlegung im Bundesanzeiger</t>
  </si>
  <si>
    <t>- Bilanz
- Gewinn- und Verlustrechnung
- Kontennachweise zu Bilanz und GuV
- Anlagenspiegel
- Steuererklärungen (USt, GewSt; GuE)
- Übermittlung der E-Bilanz (Steuerbilanz)
- Anhang
- Offenlegung im Bundesanzeiger
- Kapitalkontenentwicklung</t>
  </si>
  <si>
    <t>- Bilanz
- Gewinn- und Verlustrechnung
- Kontennachweise zu Bilanz und GuV
- Anlagenspiegel
- Steuererklärungen (USt, GewSt; GuE)
- Übermittlung der E-Bilanz (Steuerbilanz)
- Kapitalkontenentwicklung</t>
  </si>
  <si>
    <t>- Bilanz
- Gewinn- und Verlustrechnung
- Kontennachweise zu Bilanz und GuV
- Anlagenspiegel
- Steuererklärungen (USt, GewSt; Anlage G zur ESt)
- Übermittlung der E-Bilanz (Steuerbilanz)</t>
  </si>
  <si>
    <t>Stundenlohn</t>
  </si>
  <si>
    <t>Verteilung auf Kostenstellen</t>
  </si>
  <si>
    <t>Sofortmeldungen</t>
  </si>
  <si>
    <t>Ersteinrichtung Arbeitnehmer inkl. SV-steuerrechtliche Beurteilung</t>
  </si>
  <si>
    <t xml:space="preserve">Ersteinrichtung von Kostenstellen bei der Lohn- und Gehaltsabrechung </t>
  </si>
  <si>
    <t>Anträge AAG/Lohnfortzahlung wenn nicht inklusive pro Krankschreibung</t>
  </si>
  <si>
    <t>Antrag Kurzarbeitergeld je Arbeitnehmer</t>
  </si>
  <si>
    <t xml:space="preserve">An- und Abmeldungen inklusive mit Austrittsbescheinigungen </t>
  </si>
  <si>
    <t>Auswertungen über Unternehmen online</t>
  </si>
  <si>
    <t>Test</t>
  </si>
  <si>
    <t>Auslagenersatz</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</si>
</sst>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0.00\ &quot;EUR&quot;"/>
    <numFmt numFmtId="166" formatCode="#,##0\ &quot;EUR&quot;"/>
    <numFmt numFmtId="167" formatCode="#,##0\ &quot;Zehntel&quot;"/>
    <numFmt numFmtId="168" formatCode="#,##0.0\ &quot;Zehntel&quot;"/>
    <numFmt numFmtId="169" formatCode="#,##0.00\ &quot;EUR/AN&quot;"/>
    <numFmt numFmtId="170" formatCode="#,##0\ &quot;MA&quot;"/>
    <numFmt numFmtId="171" formatCode="&quot;ab&quot;\ 0\ &quot;MA&quot;"/>
  </numFmts>
  <fonts count="11" x14ac:knownFonts="1">
    <font>
      <sz val="11"/>
      <color theme="1"/>
      <name val="Segoe UI"/>
      <family val="2"/>
    </font>
    <font>
      <sz val="11"/>
      <color theme="1"/>
      <name val="Segoe UI"/>
      <family val="2"/>
    </font>
    <font>
      <b/>
      <sz val="11"/>
      <color theme="1"/>
      <name val="Segoe UI"/>
      <family val="2"/>
    </font>
    <font>
      <b/>
      <sz val="9"/>
      <color indexed="81"/>
      <name val="Segoe UI"/>
      <family val="2"/>
    </font>
    <font>
      <b/>
      <sz val="14"/>
      <color theme="1"/>
      <name val="Segoe UI"/>
      <family val="2"/>
    </font>
    <font>
      <b/>
      <sz val="12"/>
      <color theme="1"/>
      <name val="Segoe UI"/>
      <family val="2"/>
    </font>
    <font>
      <b/>
      <sz val="16"/>
      <color theme="1"/>
      <name val="Segoe UI"/>
      <family val="2"/>
    </font>
    <font>
      <sz val="14"/>
      <color theme="1"/>
      <name val="Segoe UI"/>
      <family val="2"/>
    </font>
    <font>
      <b/>
      <sz val="11"/>
      <color indexed="81"/>
      <name val="Segoe UI"/>
      <family val="2"/>
    </font>
    <font>
      <sz val="7"/>
      <color rgb="FF392B1E"/>
      <name val="Segoe UI"/>
      <family val="2"/>
    </font>
    <font>
      <sz val="10"/>
      <color theme="1"/>
      <name val="Segoe UI"/>
      <family val="2"/>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164" fontId="2" fillId="0" borderId="0" xfId="1" applyFont="1" applyAlignment="1">
      <alignment horizontal="right"/>
    </xf>
    <xf numFmtId="164" fontId="0" fillId="0" borderId="0" xfId="1" applyFont="1" applyAlignment="1">
      <alignment horizontal="right"/>
    </xf>
    <xf numFmtId="166" fontId="1" fillId="0" borderId="0" xfId="1" applyNumberFormat="1" applyFont="1" applyAlignment="1">
      <alignment horizontal="right"/>
    </xf>
    <xf numFmtId="166" fontId="0" fillId="0" borderId="0" xfId="1" applyNumberFormat="1" applyFont="1" applyAlignment="1">
      <alignment horizontal="right"/>
    </xf>
    <xf numFmtId="166" fontId="0" fillId="0" borderId="0" xfId="1" applyNumberFormat="1" applyFont="1" applyAlignment="1">
      <alignment horizontal="right" vertical="top" wrapText="1"/>
    </xf>
    <xf numFmtId="166" fontId="0" fillId="0" borderId="0" xfId="1" applyNumberFormat="1" applyFont="1" applyAlignment="1">
      <alignment horizontal="right" vertical="top"/>
    </xf>
    <xf numFmtId="164" fontId="4" fillId="0" borderId="0" xfId="1" applyFont="1" applyAlignment="1">
      <alignment horizontal="left"/>
    </xf>
    <xf numFmtId="0" fontId="2" fillId="0" borderId="0" xfId="0" applyFont="1"/>
    <xf numFmtId="166" fontId="0" fillId="0" borderId="0" xfId="1" applyNumberFormat="1" applyFont="1" applyAlignment="1">
      <alignment horizontal="right" wrapText="1"/>
    </xf>
    <xf numFmtId="49" fontId="0" fillId="0" borderId="0" xfId="0" applyNumberFormat="1"/>
    <xf numFmtId="49" fontId="0" fillId="0" borderId="0" xfId="0" applyNumberFormat="1" applyAlignment="1">
      <alignment wrapText="1"/>
    </xf>
    <xf numFmtId="49" fontId="2" fillId="0" borderId="0" xfId="0" applyNumberFormat="1" applyFont="1"/>
    <xf numFmtId="168" fontId="0" fillId="0" borderId="0" xfId="0" applyNumberFormat="1"/>
    <xf numFmtId="0" fontId="0" fillId="2" borderId="0" xfId="0" applyFill="1" applyProtection="1">
      <protection hidden="1"/>
    </xf>
    <xf numFmtId="165" fontId="0" fillId="2" borderId="0" xfId="0" applyNumberFormat="1" applyFill="1" applyAlignment="1" applyProtection="1">
      <alignment horizontal="right"/>
      <protection hidden="1"/>
    </xf>
    <xf numFmtId="165" fontId="0" fillId="2" borderId="0" xfId="1" applyNumberFormat="1" applyFont="1" applyFill="1" applyAlignment="1" applyProtection="1">
      <alignment horizontal="right"/>
      <protection hidden="1"/>
    </xf>
    <xf numFmtId="0" fontId="0" fillId="2" borderId="0" xfId="0" applyFill="1" applyAlignment="1" applyProtection="1">
      <alignment horizontal="center"/>
      <protection hidden="1"/>
    </xf>
    <xf numFmtId="3" fontId="0" fillId="2" borderId="0" xfId="1" applyNumberFormat="1" applyFont="1" applyFill="1" applyAlignment="1" applyProtection="1">
      <alignment horizontal="right"/>
      <protection hidden="1"/>
    </xf>
    <xf numFmtId="0" fontId="2" fillId="2" borderId="0" xfId="0" applyFont="1" applyFill="1" applyProtection="1">
      <protection hidden="1"/>
    </xf>
    <xf numFmtId="0" fontId="5" fillId="2" borderId="0" xfId="0" applyFont="1" applyFill="1" applyProtection="1">
      <protection hidden="1"/>
    </xf>
    <xf numFmtId="0" fontId="5" fillId="2" borderId="0" xfId="0" applyFont="1" applyFill="1" applyAlignment="1" applyProtection="1">
      <alignment horizontal="center"/>
      <protection hidden="1"/>
    </xf>
    <xf numFmtId="165" fontId="5" fillId="2" borderId="0" xfId="0" applyNumberFormat="1" applyFont="1" applyFill="1" applyAlignment="1" applyProtection="1">
      <alignment horizontal="right"/>
      <protection hidden="1"/>
    </xf>
    <xf numFmtId="9" fontId="5" fillId="2" borderId="0" xfId="2" applyNumberFormat="1" applyFont="1" applyFill="1" applyAlignment="1" applyProtection="1">
      <alignment horizontal="right"/>
      <protection hidden="1"/>
    </xf>
    <xf numFmtId="165" fontId="5" fillId="2" borderId="0" xfId="1" applyNumberFormat="1" applyFont="1" applyFill="1" applyAlignment="1" applyProtection="1">
      <alignment horizontal="right"/>
      <protection hidden="1"/>
    </xf>
    <xf numFmtId="0" fontId="0" fillId="2" borderId="2" xfId="0" applyFill="1" applyBorder="1" applyProtection="1">
      <protection hidden="1"/>
    </xf>
    <xf numFmtId="0" fontId="0" fillId="2" borderId="2" xfId="0" applyFill="1" applyBorder="1" applyAlignment="1" applyProtection="1">
      <alignment horizontal="center"/>
      <protection hidden="1"/>
    </xf>
    <xf numFmtId="165" fontId="0" fillId="2" borderId="2" xfId="0" applyNumberFormat="1" applyFill="1" applyBorder="1" applyAlignment="1" applyProtection="1">
      <alignment horizontal="right"/>
      <protection hidden="1"/>
    </xf>
    <xf numFmtId="9" fontId="0" fillId="2" borderId="2" xfId="2" applyNumberFormat="1" applyFont="1" applyFill="1" applyBorder="1" applyAlignment="1" applyProtection="1">
      <alignment horizontal="right"/>
      <protection hidden="1"/>
    </xf>
    <xf numFmtId="165" fontId="0" fillId="2" borderId="2" xfId="1" applyNumberFormat="1" applyFont="1" applyFill="1" applyBorder="1" applyAlignment="1" applyProtection="1">
      <alignment horizontal="right"/>
      <protection hidden="1"/>
    </xf>
    <xf numFmtId="0" fontId="4" fillId="2" borderId="0" xfId="0" applyFont="1" applyFill="1" applyProtection="1">
      <protection hidden="1"/>
    </xf>
    <xf numFmtId="168" fontId="0" fillId="2" borderId="0" xfId="2" applyNumberFormat="1" applyFont="1" applyFill="1" applyAlignment="1" applyProtection="1">
      <alignment horizontal="right"/>
      <protection hidden="1"/>
    </xf>
    <xf numFmtId="165" fontId="0" fillId="2" borderId="0" xfId="2" applyNumberFormat="1" applyFont="1" applyFill="1" applyAlignment="1" applyProtection="1">
      <alignment horizontal="right"/>
      <protection hidden="1"/>
    </xf>
    <xf numFmtId="0" fontId="0" fillId="2" borderId="0" xfId="0" applyFill="1" applyAlignment="1" applyProtection="1">
      <alignment horizontal="left"/>
      <protection hidden="1"/>
    </xf>
    <xf numFmtId="0" fontId="0" fillId="2" borderId="3" xfId="0" applyFill="1" applyBorder="1" applyProtection="1">
      <protection hidden="1"/>
    </xf>
    <xf numFmtId="0" fontId="0" fillId="2" borderId="3" xfId="0" applyFill="1" applyBorder="1" applyAlignment="1" applyProtection="1">
      <alignment horizontal="left"/>
      <protection hidden="1"/>
    </xf>
    <xf numFmtId="0" fontId="0" fillId="2" borderId="3" xfId="0" applyFill="1" applyBorder="1" applyAlignment="1" applyProtection="1">
      <alignment horizontal="right"/>
      <protection hidden="1"/>
    </xf>
    <xf numFmtId="9" fontId="0" fillId="2" borderId="3" xfId="2" applyNumberFormat="1" applyFont="1" applyFill="1" applyBorder="1" applyAlignment="1" applyProtection="1">
      <alignment horizontal="right"/>
      <protection hidden="1"/>
    </xf>
    <xf numFmtId="165" fontId="0" fillId="2" borderId="3" xfId="1" applyNumberFormat="1" applyFont="1" applyFill="1" applyBorder="1" applyAlignment="1" applyProtection="1">
      <alignment horizontal="right"/>
      <protection hidden="1"/>
    </xf>
    <xf numFmtId="0" fontId="7" fillId="2" borderId="0" xfId="0" applyFont="1" applyFill="1" applyProtection="1">
      <protection hidden="1"/>
    </xf>
    <xf numFmtId="0" fontId="4" fillId="2" borderId="4" xfId="0" applyFont="1" applyFill="1" applyBorder="1" applyProtection="1">
      <protection hidden="1"/>
    </xf>
    <xf numFmtId="0" fontId="4" fillId="2" borderId="4" xfId="0" applyFont="1" applyFill="1" applyBorder="1" applyAlignment="1" applyProtection="1">
      <alignment horizontal="center"/>
      <protection hidden="1"/>
    </xf>
    <xf numFmtId="165" fontId="4" fillId="2" borderId="4" xfId="0" applyNumberFormat="1" applyFont="1" applyFill="1" applyBorder="1" applyAlignment="1" applyProtection="1">
      <alignment horizontal="right"/>
      <protection hidden="1"/>
    </xf>
    <xf numFmtId="9" fontId="4" fillId="2" borderId="4" xfId="2" applyNumberFormat="1" applyFont="1" applyFill="1" applyBorder="1" applyAlignment="1" applyProtection="1">
      <alignment horizontal="right"/>
      <protection hidden="1"/>
    </xf>
    <xf numFmtId="165" fontId="4" fillId="2" borderId="4" xfId="1" applyNumberFormat="1" applyFont="1" applyFill="1" applyBorder="1" applyAlignment="1" applyProtection="1">
      <alignment horizontal="right"/>
      <protection hidden="1"/>
    </xf>
    <xf numFmtId="0" fontId="4" fillId="3" borderId="0" xfId="0" applyFont="1" applyFill="1" applyAlignment="1" applyProtection="1">
      <alignment horizontal="right"/>
      <protection hidden="1"/>
    </xf>
    <xf numFmtId="0" fontId="4" fillId="3" borderId="0" xfId="0" applyFont="1" applyFill="1" applyProtection="1">
      <protection hidden="1"/>
    </xf>
    <xf numFmtId="0" fontId="4" fillId="3" borderId="0" xfId="0" applyFont="1" applyFill="1" applyAlignment="1" applyProtection="1">
      <alignment horizontal="center"/>
      <protection hidden="1"/>
    </xf>
    <xf numFmtId="165" fontId="4" fillId="3" borderId="0" xfId="0" applyNumberFormat="1" applyFont="1" applyFill="1" applyAlignment="1" applyProtection="1">
      <alignment horizontal="right"/>
      <protection hidden="1"/>
    </xf>
    <xf numFmtId="9" fontId="4" fillId="3" borderId="0" xfId="2" applyNumberFormat="1" applyFont="1" applyFill="1" applyAlignment="1" applyProtection="1">
      <alignment horizontal="right"/>
      <protection hidden="1"/>
    </xf>
    <xf numFmtId="165" fontId="4" fillId="3" borderId="0" xfId="1" applyNumberFormat="1" applyFont="1" applyFill="1" applyAlignment="1" applyProtection="1">
      <alignment horizontal="right"/>
      <protection hidden="1"/>
    </xf>
    <xf numFmtId="3" fontId="4" fillId="3" borderId="0" xfId="0" applyNumberFormat="1" applyFont="1" applyFill="1" applyProtection="1">
      <protection hidden="1"/>
    </xf>
    <xf numFmtId="0" fontId="0" fillId="3" borderId="0" xfId="0" applyFill="1" applyAlignment="1" applyProtection="1">
      <alignment horizontal="right"/>
      <protection hidden="1"/>
    </xf>
    <xf numFmtId="165" fontId="0" fillId="3" borderId="0" xfId="0" applyNumberFormat="1" applyFill="1" applyAlignment="1" applyProtection="1">
      <alignment horizontal="right"/>
      <protection hidden="1"/>
    </xf>
    <xf numFmtId="9" fontId="0" fillId="3" borderId="0" xfId="2" applyNumberFormat="1" applyFont="1" applyFill="1" applyAlignment="1" applyProtection="1">
      <alignment horizontal="right"/>
      <protection hidden="1"/>
    </xf>
    <xf numFmtId="165" fontId="0" fillId="3" borderId="0" xfId="1" applyNumberFormat="1" applyFont="1" applyFill="1" applyAlignment="1" applyProtection="1">
      <alignment horizontal="right"/>
      <protection hidden="1"/>
    </xf>
    <xf numFmtId="0" fontId="0" fillId="3" borderId="0" xfId="0" applyFill="1" applyProtection="1">
      <protection hidden="1"/>
    </xf>
    <xf numFmtId="3" fontId="0" fillId="3" borderId="0" xfId="0" applyNumberFormat="1" applyFill="1" applyProtection="1">
      <protection hidden="1"/>
    </xf>
    <xf numFmtId="0" fontId="0" fillId="3" borderId="0" xfId="0" applyFill="1" applyAlignment="1" applyProtection="1">
      <alignment horizontal="center"/>
      <protection hidden="1"/>
    </xf>
    <xf numFmtId="0" fontId="2" fillId="3" borderId="0" xfId="0" applyFont="1" applyFill="1" applyProtection="1">
      <protection hidden="1"/>
    </xf>
    <xf numFmtId="0" fontId="5" fillId="3" borderId="0" xfId="0" applyFont="1" applyFill="1" applyAlignment="1" applyProtection="1">
      <alignment horizontal="right"/>
      <protection hidden="1"/>
    </xf>
    <xf numFmtId="0" fontId="5" fillId="3" borderId="0" xfId="0" applyFont="1" applyFill="1" applyProtection="1">
      <protection hidden="1"/>
    </xf>
    <xf numFmtId="0" fontId="5" fillId="3" borderId="0" xfId="0" applyFont="1" applyFill="1" applyAlignment="1" applyProtection="1">
      <alignment horizontal="center"/>
      <protection hidden="1"/>
    </xf>
    <xf numFmtId="165" fontId="5" fillId="3" borderId="0" xfId="0" applyNumberFormat="1" applyFont="1" applyFill="1" applyAlignment="1" applyProtection="1">
      <alignment horizontal="right"/>
      <protection hidden="1"/>
    </xf>
    <xf numFmtId="9" fontId="5" fillId="3" borderId="0" xfId="2" applyNumberFormat="1" applyFont="1" applyFill="1" applyAlignment="1" applyProtection="1">
      <alignment horizontal="right"/>
      <protection hidden="1"/>
    </xf>
    <xf numFmtId="169" fontId="5" fillId="3" borderId="0" xfId="1" applyNumberFormat="1" applyFont="1" applyFill="1" applyAlignment="1" applyProtection="1">
      <alignment horizontal="right"/>
      <protection hidden="1"/>
    </xf>
    <xf numFmtId="3" fontId="5" fillId="3" borderId="0" xfId="0" applyNumberFormat="1" applyFont="1" applyFill="1" applyProtection="1">
      <protection hidden="1"/>
    </xf>
    <xf numFmtId="0" fontId="0" fillId="3" borderId="2" xfId="0" applyFill="1" applyBorder="1" applyProtection="1">
      <protection hidden="1"/>
    </xf>
    <xf numFmtId="0" fontId="0" fillId="3" borderId="2" xfId="0" applyFill="1" applyBorder="1" applyAlignment="1" applyProtection="1">
      <alignment horizontal="center"/>
      <protection hidden="1"/>
    </xf>
    <xf numFmtId="165" fontId="0" fillId="3" borderId="2" xfId="0" applyNumberFormat="1" applyFill="1" applyBorder="1" applyAlignment="1" applyProtection="1">
      <alignment horizontal="right"/>
      <protection hidden="1"/>
    </xf>
    <xf numFmtId="9" fontId="0" fillId="3" borderId="2" xfId="2" applyNumberFormat="1" applyFont="1" applyFill="1" applyBorder="1" applyAlignment="1" applyProtection="1">
      <alignment horizontal="right"/>
      <protection hidden="1"/>
    </xf>
    <xf numFmtId="165" fontId="0" fillId="3" borderId="2" xfId="1" applyNumberFormat="1" applyFont="1" applyFill="1" applyBorder="1" applyAlignment="1" applyProtection="1">
      <alignment horizontal="right"/>
      <protection hidden="1"/>
    </xf>
    <xf numFmtId="165" fontId="0" fillId="3" borderId="0" xfId="0" applyNumberFormat="1" applyFill="1" applyAlignment="1" applyProtection="1">
      <protection hidden="1"/>
    </xf>
    <xf numFmtId="165" fontId="0" fillId="3" borderId="0" xfId="2" applyNumberFormat="1" applyFont="1" applyFill="1" applyAlignment="1" applyProtection="1">
      <alignment horizontal="right"/>
      <protection hidden="1"/>
    </xf>
    <xf numFmtId="0" fontId="0" fillId="3" borderId="0" xfId="0" applyFill="1" applyBorder="1" applyAlignment="1" applyProtection="1">
      <alignment horizontal="center"/>
      <protection hidden="1"/>
    </xf>
    <xf numFmtId="0" fontId="2" fillId="3" borderId="0" xfId="0" applyFont="1" applyFill="1" applyAlignment="1" applyProtection="1">
      <alignment horizontal="center"/>
      <protection hidden="1"/>
    </xf>
    <xf numFmtId="165" fontId="2" fillId="3" borderId="0" xfId="0" applyNumberFormat="1" applyFont="1" applyFill="1" applyAlignment="1" applyProtection="1">
      <alignment horizontal="right"/>
      <protection hidden="1"/>
    </xf>
    <xf numFmtId="9" fontId="2" fillId="3" borderId="0" xfId="2" applyNumberFormat="1" applyFont="1" applyFill="1" applyAlignment="1" applyProtection="1">
      <alignment horizontal="right"/>
      <protection hidden="1"/>
    </xf>
    <xf numFmtId="165" fontId="2" fillId="3" borderId="0" xfId="1" applyNumberFormat="1" applyFont="1" applyFill="1" applyAlignment="1" applyProtection="1">
      <alignment horizontal="right"/>
      <protection hidden="1"/>
    </xf>
    <xf numFmtId="168" fontId="0" fillId="3" borderId="0" xfId="2" applyNumberFormat="1" applyFont="1" applyFill="1" applyAlignment="1" applyProtection="1">
      <alignment horizontal="right"/>
      <protection hidden="1"/>
    </xf>
    <xf numFmtId="165" fontId="0" fillId="3" borderId="0" xfId="1" applyNumberFormat="1" applyFont="1" applyFill="1" applyBorder="1" applyAlignment="1" applyProtection="1">
      <alignment horizontal="right"/>
      <protection hidden="1"/>
    </xf>
    <xf numFmtId="0" fontId="0" fillId="3" borderId="3" xfId="0" applyFill="1" applyBorder="1" applyProtection="1">
      <protection hidden="1"/>
    </xf>
    <xf numFmtId="0" fontId="0" fillId="3" borderId="3" xfId="0" applyFill="1" applyBorder="1" applyAlignment="1" applyProtection="1">
      <alignment horizontal="left"/>
      <protection hidden="1"/>
    </xf>
    <xf numFmtId="0" fontId="0" fillId="3" borderId="3" xfId="0" applyFill="1" applyBorder="1" applyAlignment="1" applyProtection="1">
      <alignment horizontal="right"/>
      <protection hidden="1"/>
    </xf>
    <xf numFmtId="9" fontId="0" fillId="3" borderId="3" xfId="2" applyNumberFormat="1" applyFont="1" applyFill="1" applyBorder="1" applyAlignment="1" applyProtection="1">
      <alignment horizontal="right"/>
      <protection hidden="1"/>
    </xf>
    <xf numFmtId="165" fontId="0" fillId="3" borderId="3" xfId="1" applyNumberFormat="1"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4" fillId="3" borderId="4" xfId="0" applyFont="1" applyFill="1" applyBorder="1" applyProtection="1">
      <protection hidden="1"/>
    </xf>
    <xf numFmtId="0" fontId="4" fillId="3" borderId="4" xfId="0" applyFont="1" applyFill="1" applyBorder="1" applyAlignment="1" applyProtection="1">
      <alignment horizontal="center"/>
      <protection hidden="1"/>
    </xf>
    <xf numFmtId="165" fontId="4" fillId="3" borderId="4" xfId="0" applyNumberFormat="1" applyFont="1" applyFill="1" applyBorder="1" applyAlignment="1" applyProtection="1">
      <alignment horizontal="right"/>
      <protection hidden="1"/>
    </xf>
    <xf numFmtId="9" fontId="4" fillId="3" borderId="4" xfId="2" applyNumberFormat="1" applyFont="1" applyFill="1" applyBorder="1" applyAlignment="1" applyProtection="1">
      <alignment horizontal="right"/>
      <protection hidden="1"/>
    </xf>
    <xf numFmtId="165" fontId="4" fillId="3" borderId="4" xfId="1" applyNumberFormat="1" applyFont="1" applyFill="1" applyBorder="1" applyAlignment="1" applyProtection="1">
      <alignment horizontal="right"/>
      <protection hidden="1"/>
    </xf>
    <xf numFmtId="0" fontId="7" fillId="3" borderId="0" xfId="0" applyFont="1" applyFill="1" applyProtection="1">
      <protection hidden="1"/>
    </xf>
    <xf numFmtId="3" fontId="7" fillId="3" borderId="0" xfId="0" applyNumberFormat="1" applyFont="1" applyFill="1" applyProtection="1">
      <protection hidden="1"/>
    </xf>
    <xf numFmtId="0" fontId="4" fillId="4" borderId="0" xfId="0" applyFont="1" applyFill="1" applyProtection="1"/>
    <xf numFmtId="0" fontId="4" fillId="4" borderId="0" xfId="0" applyFont="1" applyFill="1" applyAlignment="1" applyProtection="1">
      <alignment horizontal="center"/>
    </xf>
    <xf numFmtId="165" fontId="4" fillId="4" borderId="0" xfId="0" applyNumberFormat="1" applyFont="1" applyFill="1" applyAlignment="1" applyProtection="1">
      <alignment horizontal="right"/>
    </xf>
    <xf numFmtId="9" fontId="4" fillId="4" borderId="0" xfId="2" applyNumberFormat="1" applyFont="1" applyFill="1" applyAlignment="1" applyProtection="1">
      <alignment horizontal="right"/>
    </xf>
    <xf numFmtId="165" fontId="4" fillId="4" borderId="0" xfId="2" applyNumberFormat="1" applyFont="1" applyFill="1" applyAlignment="1" applyProtection="1">
      <alignment horizontal="right"/>
    </xf>
    <xf numFmtId="165" fontId="4" fillId="4" borderId="0" xfId="1" applyNumberFormat="1" applyFont="1" applyFill="1" applyAlignment="1" applyProtection="1">
      <alignment horizontal="right"/>
    </xf>
    <xf numFmtId="3" fontId="4" fillId="4" borderId="0" xfId="0" applyNumberFormat="1" applyFont="1" applyFill="1" applyProtection="1"/>
    <xf numFmtId="0" fontId="0" fillId="4" borderId="0" xfId="0" applyFill="1" applyProtection="1"/>
    <xf numFmtId="3" fontId="0" fillId="4" borderId="0" xfId="0" applyNumberFormat="1" applyFill="1" applyProtection="1"/>
    <xf numFmtId="0" fontId="6" fillId="4" borderId="0" xfId="0" applyFont="1" applyFill="1" applyProtection="1"/>
    <xf numFmtId="0" fontId="2" fillId="4" borderId="0" xfId="0" applyFont="1" applyFill="1" applyAlignment="1" applyProtection="1">
      <alignment horizontal="center"/>
    </xf>
    <xf numFmtId="165" fontId="0" fillId="4" borderId="0" xfId="0" applyNumberFormat="1" applyFill="1" applyAlignment="1" applyProtection="1">
      <alignment horizontal="right"/>
    </xf>
    <xf numFmtId="165" fontId="0" fillId="4" borderId="0" xfId="2" applyNumberFormat="1" applyFont="1" applyFill="1" applyAlignment="1" applyProtection="1">
      <alignment horizontal="right"/>
    </xf>
    <xf numFmtId="165" fontId="0" fillId="4" borderId="0" xfId="1" applyNumberFormat="1" applyFont="1" applyFill="1" applyAlignment="1" applyProtection="1">
      <alignment horizontal="right"/>
    </xf>
    <xf numFmtId="0" fontId="0" fillId="4" borderId="0" xfId="0" applyFill="1" applyAlignment="1" applyProtection="1">
      <alignment horizontal="center"/>
    </xf>
    <xf numFmtId="3" fontId="0" fillId="4" borderId="0" xfId="1" applyNumberFormat="1" applyFont="1" applyFill="1" applyAlignment="1" applyProtection="1">
      <alignment horizontal="right"/>
    </xf>
    <xf numFmtId="168" fontId="0" fillId="4" borderId="0" xfId="1" applyNumberFormat="1" applyFont="1" applyFill="1" applyAlignment="1" applyProtection="1">
      <alignment horizontal="right"/>
    </xf>
    <xf numFmtId="0" fontId="2" fillId="4" borderId="0" xfId="0" applyFont="1" applyFill="1" applyProtection="1"/>
    <xf numFmtId="0" fontId="0" fillId="4" borderId="0" xfId="0" applyFill="1" applyAlignment="1" applyProtection="1">
      <alignment vertical="top" wrapText="1"/>
    </xf>
    <xf numFmtId="0" fontId="5" fillId="4" borderId="0" xfId="0" applyFont="1" applyFill="1" applyProtection="1"/>
    <xf numFmtId="0" fontId="5" fillId="4" borderId="0" xfId="0" applyFont="1" applyFill="1" applyAlignment="1" applyProtection="1">
      <alignment horizontal="center"/>
    </xf>
    <xf numFmtId="165" fontId="5" fillId="4" borderId="0" xfId="0" applyNumberFormat="1" applyFont="1" applyFill="1" applyAlignment="1" applyProtection="1">
      <alignment horizontal="right"/>
    </xf>
    <xf numFmtId="9" fontId="5" fillId="4" borderId="0" xfId="2" applyNumberFormat="1" applyFont="1" applyFill="1" applyAlignment="1" applyProtection="1">
      <alignment horizontal="right"/>
    </xf>
    <xf numFmtId="165" fontId="5" fillId="4" borderId="0" xfId="2" applyNumberFormat="1" applyFont="1" applyFill="1" applyAlignment="1" applyProtection="1">
      <alignment horizontal="right"/>
    </xf>
    <xf numFmtId="165" fontId="5" fillId="4" borderId="0" xfId="1" applyNumberFormat="1" applyFont="1" applyFill="1" applyAlignment="1" applyProtection="1">
      <alignment horizontal="right"/>
    </xf>
    <xf numFmtId="3" fontId="5" fillId="4" borderId="0" xfId="0" applyNumberFormat="1" applyFont="1" applyFill="1" applyProtection="1"/>
    <xf numFmtId="0" fontId="0" fillId="4" borderId="2" xfId="0" applyFill="1" applyBorder="1" applyProtection="1"/>
    <xf numFmtId="0" fontId="0" fillId="4" borderId="2" xfId="0" applyFill="1" applyBorder="1" applyAlignment="1" applyProtection="1">
      <alignment horizontal="center"/>
    </xf>
    <xf numFmtId="165" fontId="0" fillId="4" borderId="2" xfId="0" applyNumberFormat="1" applyFill="1" applyBorder="1" applyAlignment="1" applyProtection="1">
      <alignment horizontal="right"/>
    </xf>
    <xf numFmtId="9" fontId="0" fillId="4" borderId="2" xfId="2" applyNumberFormat="1" applyFont="1" applyFill="1" applyBorder="1" applyAlignment="1" applyProtection="1">
      <alignment horizontal="right"/>
    </xf>
    <xf numFmtId="165" fontId="0" fillId="4" borderId="2" xfId="2" applyNumberFormat="1" applyFont="1" applyFill="1" applyBorder="1" applyAlignment="1" applyProtection="1">
      <alignment horizontal="right"/>
    </xf>
    <xf numFmtId="165" fontId="0" fillId="4" borderId="2" xfId="1" applyNumberFormat="1" applyFont="1" applyFill="1" applyBorder="1" applyAlignment="1" applyProtection="1">
      <alignment horizontal="right"/>
    </xf>
    <xf numFmtId="168" fontId="0" fillId="4" borderId="0" xfId="2" applyNumberFormat="1" applyFont="1" applyFill="1" applyAlignment="1" applyProtection="1">
      <alignment horizontal="right"/>
    </xf>
    <xf numFmtId="165" fontId="0" fillId="4" borderId="0" xfId="0" applyNumberFormat="1" applyFill="1" applyAlignment="1" applyProtection="1"/>
    <xf numFmtId="0" fontId="0" fillId="4" borderId="0" xfId="0" applyFill="1" applyAlignment="1" applyProtection="1">
      <alignment horizontal="left"/>
    </xf>
    <xf numFmtId="0" fontId="0" fillId="4" borderId="3" xfId="0" applyFill="1" applyBorder="1" applyProtection="1"/>
    <xf numFmtId="0" fontId="0" fillId="4" borderId="3" xfId="0" applyFill="1" applyBorder="1" applyAlignment="1" applyProtection="1">
      <alignment horizontal="left"/>
    </xf>
    <xf numFmtId="0" fontId="0" fillId="4" borderId="3" xfId="0" applyFill="1" applyBorder="1" applyAlignment="1" applyProtection="1">
      <alignment horizontal="right"/>
    </xf>
    <xf numFmtId="9" fontId="0" fillId="4" borderId="3" xfId="2" applyNumberFormat="1" applyFont="1" applyFill="1" applyBorder="1" applyAlignment="1" applyProtection="1">
      <alignment horizontal="right"/>
    </xf>
    <xf numFmtId="165" fontId="0" fillId="4" borderId="3" xfId="2" applyNumberFormat="1" applyFont="1" applyFill="1" applyBorder="1" applyAlignment="1" applyProtection="1">
      <alignment horizontal="right"/>
    </xf>
    <xf numFmtId="165" fontId="0" fillId="4" borderId="3" xfId="1" applyNumberFormat="1" applyFont="1" applyFill="1" applyBorder="1" applyAlignment="1" applyProtection="1">
      <alignment horizontal="right"/>
    </xf>
    <xf numFmtId="0" fontId="4" fillId="4" borderId="4" xfId="0" applyFont="1" applyFill="1" applyBorder="1" applyProtection="1"/>
    <xf numFmtId="0" fontId="4" fillId="4" borderId="4" xfId="0" applyFont="1" applyFill="1" applyBorder="1" applyAlignment="1" applyProtection="1">
      <alignment horizontal="center"/>
    </xf>
    <xf numFmtId="165" fontId="4" fillId="4" borderId="4" xfId="0" applyNumberFormat="1" applyFont="1" applyFill="1" applyBorder="1" applyAlignment="1" applyProtection="1">
      <alignment horizontal="right"/>
    </xf>
    <xf numFmtId="9" fontId="4" fillId="4" borderId="4" xfId="2" applyNumberFormat="1" applyFont="1" applyFill="1" applyBorder="1" applyAlignment="1" applyProtection="1">
      <alignment horizontal="right"/>
    </xf>
    <xf numFmtId="165" fontId="4" fillId="4" borderId="4" xfId="2" applyNumberFormat="1" applyFont="1" applyFill="1" applyBorder="1" applyAlignment="1" applyProtection="1">
      <alignment horizontal="right"/>
    </xf>
    <xf numFmtId="165" fontId="4" fillId="4" borderId="4" xfId="1" applyNumberFormat="1" applyFont="1" applyFill="1" applyBorder="1" applyAlignment="1" applyProtection="1">
      <alignment horizontal="right"/>
    </xf>
    <xf numFmtId="0" fontId="7" fillId="4" borderId="0" xfId="0" applyFont="1" applyFill="1" applyProtection="1"/>
    <xf numFmtId="3" fontId="7" fillId="4" borderId="0" xfId="0" applyNumberFormat="1" applyFont="1" applyFill="1" applyProtection="1"/>
    <xf numFmtId="0" fontId="0" fillId="5" borderId="0" xfId="0" applyFill="1" applyAlignment="1">
      <alignment horizontal="center"/>
    </xf>
    <xf numFmtId="165" fontId="0" fillId="5" borderId="0" xfId="0" applyNumberFormat="1" applyFill="1" applyAlignment="1">
      <alignment horizontal="right"/>
    </xf>
    <xf numFmtId="9" fontId="0" fillId="5" borderId="0" xfId="2" applyNumberFormat="1" applyFont="1" applyFill="1" applyAlignment="1">
      <alignment horizontal="right"/>
    </xf>
    <xf numFmtId="165" fontId="0" fillId="5" borderId="0" xfId="1" applyNumberFormat="1" applyFont="1" applyFill="1" applyAlignment="1">
      <alignment horizontal="right"/>
    </xf>
    <xf numFmtId="0" fontId="0" fillId="5" borderId="0" xfId="0" applyFill="1"/>
    <xf numFmtId="3" fontId="0" fillId="5" borderId="0" xfId="0" applyNumberFormat="1" applyFill="1"/>
    <xf numFmtId="0" fontId="0" fillId="5" borderId="0" xfId="0" applyFont="1" applyFill="1"/>
    <xf numFmtId="3" fontId="0" fillId="5" borderId="0" xfId="0" applyNumberFormat="1" applyFont="1" applyFill="1"/>
    <xf numFmtId="0" fontId="5" fillId="5" borderId="0" xfId="0" applyFont="1" applyFill="1"/>
    <xf numFmtId="3" fontId="5" fillId="5" borderId="0" xfId="0" applyNumberFormat="1" applyFont="1" applyFill="1"/>
    <xf numFmtId="0" fontId="7" fillId="5" borderId="0" xfId="0" applyFont="1" applyFill="1"/>
    <xf numFmtId="3" fontId="7" fillId="5" borderId="0" xfId="0" applyNumberFormat="1" applyFont="1" applyFill="1"/>
    <xf numFmtId="166" fontId="0" fillId="6" borderId="1" xfId="1" applyNumberFormat="1" applyFont="1" applyFill="1" applyBorder="1" applyAlignment="1" applyProtection="1">
      <alignment horizontal="right"/>
      <protection locked="0" hidden="1"/>
    </xf>
    <xf numFmtId="0" fontId="0" fillId="6" borderId="1" xfId="0" applyFill="1" applyBorder="1" applyAlignment="1" applyProtection="1">
      <alignment horizontal="center"/>
      <protection locked="0" hidden="1"/>
    </xf>
    <xf numFmtId="0" fontId="6" fillId="2" borderId="0" xfId="0" applyFont="1" applyFill="1" applyAlignment="1" applyProtection="1">
      <alignment horizontal="left"/>
      <protection hidden="1"/>
    </xf>
    <xf numFmtId="0" fontId="6" fillId="2" borderId="0" xfId="0" applyFont="1" applyFill="1" applyAlignment="1" applyProtection="1">
      <protection hidden="1"/>
    </xf>
    <xf numFmtId="0" fontId="4" fillId="2" borderId="0" xfId="0" applyFont="1" applyFill="1" applyProtection="1"/>
    <xf numFmtId="0" fontId="4" fillId="3" borderId="0" xfId="0" applyFont="1" applyFill="1" applyProtection="1"/>
    <xf numFmtId="14" fontId="2" fillId="3" borderId="0" xfId="1" applyNumberFormat="1" applyFont="1" applyFill="1" applyAlignment="1" applyProtection="1">
      <alignment horizontal="right"/>
      <protection hidden="1"/>
    </xf>
    <xf numFmtId="0" fontId="6" fillId="3" borderId="0" xfId="0" applyFont="1" applyFill="1" applyAlignment="1" applyProtection="1">
      <protection hidden="1"/>
    </xf>
    <xf numFmtId="14" fontId="2" fillId="4" borderId="0" xfId="1" applyNumberFormat="1" applyFont="1" applyFill="1" applyAlignment="1" applyProtection="1">
      <alignment horizontal="right"/>
    </xf>
    <xf numFmtId="0" fontId="0" fillId="7" borderId="0" xfId="0" applyFill="1" applyAlignment="1">
      <alignment horizontal="right"/>
    </xf>
    <xf numFmtId="0" fontId="0" fillId="7" borderId="0" xfId="0" applyFill="1"/>
    <xf numFmtId="0" fontId="0" fillId="7" borderId="0" xfId="0" applyFill="1" applyAlignment="1">
      <alignment horizontal="left"/>
    </xf>
    <xf numFmtId="165" fontId="0" fillId="2" borderId="0" xfId="0" applyNumberFormat="1" applyFill="1" applyAlignment="1" applyProtection="1">
      <protection hidden="1"/>
    </xf>
    <xf numFmtId="0" fontId="0" fillId="6" borderId="1" xfId="0" applyFill="1" applyBorder="1" applyAlignment="1" applyProtection="1">
      <alignment horizontal="left"/>
      <protection locked="0"/>
    </xf>
    <xf numFmtId="0" fontId="0" fillId="6" borderId="5" xfId="0" applyFill="1" applyBorder="1" applyAlignment="1" applyProtection="1">
      <alignment horizontal="left"/>
      <protection locked="0"/>
    </xf>
    <xf numFmtId="0" fontId="0" fillId="6" borderId="6" xfId="0" applyFill="1" applyBorder="1" applyAlignment="1" applyProtection="1">
      <alignment horizontal="left"/>
      <protection locked="0"/>
    </xf>
    <xf numFmtId="14" fontId="0" fillId="6" borderId="1" xfId="0" applyNumberFormat="1" applyFill="1" applyBorder="1" applyAlignment="1" applyProtection="1">
      <alignment horizontal="left"/>
      <protection locked="0"/>
    </xf>
    <xf numFmtId="170" fontId="0" fillId="6" borderId="1" xfId="1" applyNumberFormat="1" applyFont="1" applyFill="1" applyBorder="1" applyAlignment="1" applyProtection="1">
      <alignment horizontal="right"/>
      <protection locked="0" hidden="1"/>
    </xf>
    <xf numFmtId="166" fontId="0" fillId="6" borderId="1" xfId="1" applyNumberFormat="1" applyFont="1" applyFill="1" applyBorder="1" applyAlignment="1" applyProtection="1">
      <alignment horizontal="right"/>
      <protection locked="0"/>
    </xf>
    <xf numFmtId="165" fontId="0" fillId="6" borderId="0" xfId="1" applyNumberFormat="1" applyFont="1" applyFill="1" applyAlignment="1" applyProtection="1">
      <alignment horizontal="right"/>
    </xf>
    <xf numFmtId="0" fontId="0" fillId="6" borderId="1" xfId="0" applyFill="1" applyBorder="1" applyAlignment="1" applyProtection="1">
      <alignment horizontal="center"/>
      <protection locked="0"/>
    </xf>
    <xf numFmtId="0" fontId="0" fillId="6" borderId="7" xfId="0" applyFill="1" applyBorder="1" applyAlignment="1" applyProtection="1">
      <alignment horizontal="left"/>
      <protection locked="0"/>
    </xf>
    <xf numFmtId="9" fontId="0" fillId="2" borderId="0" xfId="2" applyNumberFormat="1" applyFont="1" applyFill="1" applyAlignment="1" applyProtection="1">
      <alignment horizontal="right"/>
      <protection hidden="1"/>
    </xf>
    <xf numFmtId="0" fontId="0" fillId="2" borderId="0" xfId="0" applyFill="1" applyBorder="1" applyAlignment="1" applyProtection="1">
      <alignment horizontal="right"/>
      <protection hidden="1"/>
    </xf>
    <xf numFmtId="0" fontId="0" fillId="2" borderId="0" xfId="0" applyFill="1" applyAlignment="1" applyProtection="1">
      <alignment horizontal="right"/>
      <protection hidden="1"/>
    </xf>
    <xf numFmtId="165" fontId="0" fillId="2" borderId="0" xfId="0" applyNumberFormat="1" applyFill="1" applyBorder="1" applyAlignment="1" applyProtection="1">
      <alignment horizontal="right"/>
      <protection hidden="1"/>
    </xf>
    <xf numFmtId="0" fontId="0" fillId="2" borderId="0" xfId="0" applyFill="1" applyBorder="1" applyProtection="1">
      <protection hidden="1"/>
    </xf>
    <xf numFmtId="0" fontId="0" fillId="7" borderId="1" xfId="0" applyFill="1" applyBorder="1" applyAlignment="1" applyProtection="1">
      <alignment horizontal="left"/>
      <protection hidden="1"/>
    </xf>
    <xf numFmtId="165" fontId="0" fillId="7" borderId="1" xfId="0" applyNumberFormat="1" applyFill="1" applyBorder="1" applyAlignment="1" applyProtection="1">
      <alignment horizontal="right"/>
      <protection hidden="1"/>
    </xf>
    <xf numFmtId="9" fontId="0" fillId="7" borderId="1" xfId="2" applyNumberFormat="1" applyFont="1" applyFill="1" applyBorder="1" applyAlignment="1" applyProtection="1">
      <alignment horizontal="right"/>
      <protection hidden="1"/>
    </xf>
    <xf numFmtId="168" fontId="0" fillId="7" borderId="1" xfId="2" applyNumberFormat="1" applyFont="1" applyFill="1" applyBorder="1" applyAlignment="1" applyProtection="1">
      <alignment horizontal="right"/>
      <protection hidden="1"/>
    </xf>
    <xf numFmtId="165" fontId="0" fillId="7" borderId="1" xfId="2" applyNumberFormat="1" applyFont="1" applyFill="1" applyBorder="1" applyAlignment="1" applyProtection="1">
      <alignment horizontal="right"/>
      <protection hidden="1"/>
    </xf>
    <xf numFmtId="166" fontId="0" fillId="2" borderId="0" xfId="0" applyNumberFormat="1" applyFill="1" applyBorder="1" applyAlignment="1" applyProtection="1">
      <alignment horizontal="right"/>
      <protection hidden="1"/>
    </xf>
    <xf numFmtId="168" fontId="0" fillId="2" borderId="0" xfId="0" applyNumberFormat="1" applyFill="1" applyBorder="1" applyAlignment="1" applyProtection="1">
      <alignment horizontal="right"/>
      <protection hidden="1"/>
    </xf>
    <xf numFmtId="168" fontId="0" fillId="7" borderId="1" xfId="1" applyNumberFormat="1" applyFont="1" applyFill="1" applyBorder="1" applyAlignment="1" applyProtection="1">
      <alignment horizontal="right"/>
      <protection hidden="1"/>
    </xf>
    <xf numFmtId="165" fontId="0" fillId="7" borderId="1" xfId="1" applyNumberFormat="1" applyFont="1" applyFill="1" applyBorder="1" applyAlignment="1" applyProtection="1">
      <alignment horizontal="right"/>
      <protection hidden="1"/>
    </xf>
    <xf numFmtId="0" fontId="2" fillId="2" borderId="0" xfId="0" applyFont="1" applyFill="1" applyAlignment="1" applyProtection="1">
      <alignment horizontal="left"/>
      <protection hidden="1"/>
    </xf>
    <xf numFmtId="165" fontId="2" fillId="2" borderId="0" xfId="0" applyNumberFormat="1" applyFont="1" applyFill="1" applyAlignment="1" applyProtection="1">
      <alignment horizontal="right"/>
      <protection hidden="1"/>
    </xf>
    <xf numFmtId="9" fontId="2" fillId="2" borderId="0" xfId="2" applyNumberFormat="1" applyFont="1" applyFill="1" applyAlignment="1" applyProtection="1">
      <alignment horizontal="right"/>
      <protection hidden="1"/>
    </xf>
    <xf numFmtId="9" fontId="2" fillId="2" borderId="0" xfId="2" applyNumberFormat="1" applyFont="1" applyFill="1" applyAlignment="1" applyProtection="1">
      <alignment horizontal="right" wrapText="1"/>
      <protection hidden="1"/>
    </xf>
    <xf numFmtId="0" fontId="2" fillId="2" borderId="0" xfId="0" applyFont="1" applyFill="1" applyAlignment="1" applyProtection="1">
      <alignment horizontal="center"/>
      <protection hidden="1"/>
    </xf>
    <xf numFmtId="9" fontId="2" fillId="2" borderId="0" xfId="2" applyNumberFormat="1" applyFont="1" applyFill="1" applyAlignment="1" applyProtection="1">
      <protection hidden="1"/>
    </xf>
    <xf numFmtId="9" fontId="0" fillId="2" borderId="0" xfId="2" applyNumberFormat="1" applyFont="1" applyFill="1" applyAlignment="1" applyProtection="1">
      <alignment horizontal="left"/>
      <protection hidden="1"/>
    </xf>
    <xf numFmtId="0" fontId="0" fillId="2" borderId="0" xfId="0" applyFill="1" applyProtection="1"/>
    <xf numFmtId="0" fontId="0" fillId="2" borderId="0" xfId="0" applyFill="1" applyAlignment="1" applyProtection="1">
      <alignment horizontal="center"/>
    </xf>
    <xf numFmtId="165" fontId="0" fillId="2" borderId="0" xfId="0" applyNumberFormat="1" applyFill="1" applyAlignment="1" applyProtection="1">
      <alignment horizontal="right"/>
    </xf>
    <xf numFmtId="9" fontId="0" fillId="2" borderId="0" xfId="2" applyNumberFormat="1" applyFont="1" applyFill="1" applyAlignment="1" applyProtection="1">
      <alignment horizontal="right"/>
    </xf>
    <xf numFmtId="14" fontId="2" fillId="2" borderId="0" xfId="1" applyNumberFormat="1" applyFont="1" applyFill="1" applyAlignment="1" applyProtection="1">
      <alignment horizontal="right"/>
    </xf>
    <xf numFmtId="3" fontId="0" fillId="2" borderId="0" xfId="0" applyNumberFormat="1" applyFill="1" applyProtection="1"/>
    <xf numFmtId="165" fontId="0" fillId="2" borderId="0" xfId="1" applyNumberFormat="1" applyFont="1" applyFill="1" applyAlignment="1" applyProtection="1">
      <alignment horizontal="right"/>
    </xf>
    <xf numFmtId="0" fontId="5" fillId="2" borderId="0" xfId="0" applyFont="1" applyFill="1" applyProtection="1"/>
    <xf numFmtId="3" fontId="5" fillId="2" borderId="0" xfId="0" applyNumberFormat="1" applyFont="1" applyFill="1" applyProtection="1"/>
    <xf numFmtId="165" fontId="0" fillId="2" borderId="0" xfId="0" applyNumberFormat="1" applyFill="1" applyProtection="1"/>
    <xf numFmtId="9" fontId="0" fillId="2" borderId="0" xfId="2" applyFont="1" applyFill="1" applyProtection="1"/>
    <xf numFmtId="168" fontId="0" fillId="2" borderId="0" xfId="0" applyNumberFormat="1" applyFill="1" applyProtection="1"/>
    <xf numFmtId="0" fontId="0" fillId="2" borderId="0" xfId="0" applyFill="1" applyBorder="1" applyAlignment="1" applyProtection="1">
      <alignment horizontal="left"/>
      <protection hidden="1"/>
    </xf>
    <xf numFmtId="0" fontId="0" fillId="2" borderId="0" xfId="0" applyFont="1" applyFill="1" applyBorder="1" applyAlignment="1" applyProtection="1">
      <alignment horizontal="left"/>
      <protection hidden="1"/>
    </xf>
    <xf numFmtId="0" fontId="7" fillId="2" borderId="0" xfId="0" applyFont="1" applyFill="1" applyProtection="1"/>
    <xf numFmtId="3" fontId="7" fillId="2" borderId="0" xfId="0" applyNumberFormat="1" applyFont="1" applyFill="1" applyProtection="1"/>
    <xf numFmtId="171" fontId="0" fillId="3" borderId="0" xfId="2" applyNumberFormat="1" applyFont="1" applyFill="1" applyAlignment="1" applyProtection="1">
      <alignment horizontal="right"/>
      <protection hidden="1"/>
    </xf>
    <xf numFmtId="9" fontId="0" fillId="3" borderId="0" xfId="2" applyNumberFormat="1" applyFont="1" applyFill="1" applyAlignment="1" applyProtection="1">
      <alignment horizontal="left"/>
      <protection hidden="1"/>
    </xf>
    <xf numFmtId="167" fontId="0" fillId="7" borderId="1" xfId="0" applyNumberFormat="1" applyFill="1" applyBorder="1" applyAlignment="1" applyProtection="1">
      <alignment horizontal="right"/>
    </xf>
    <xf numFmtId="165" fontId="0" fillId="7" borderId="1" xfId="0" applyNumberFormat="1" applyFill="1" applyBorder="1" applyAlignment="1" applyProtection="1">
      <alignment horizontal="right"/>
    </xf>
    <xf numFmtId="9" fontId="0" fillId="7" borderId="1" xfId="0" applyNumberFormat="1" applyFill="1" applyBorder="1" applyAlignment="1" applyProtection="1">
      <alignment horizontal="right"/>
    </xf>
    <xf numFmtId="0" fontId="0" fillId="3" borderId="0" xfId="0" applyFill="1" applyBorder="1" applyAlignment="1" applyProtection="1">
      <alignment horizontal="left"/>
      <protection hidden="1"/>
    </xf>
    <xf numFmtId="0" fontId="0" fillId="3" borderId="0" xfId="0" applyFill="1" applyProtection="1"/>
    <xf numFmtId="3" fontId="0" fillId="3" borderId="0" xfId="0" applyNumberFormat="1" applyFill="1" applyProtection="1"/>
    <xf numFmtId="0" fontId="2" fillId="3" borderId="0" xfId="0" applyFont="1" applyFill="1" applyAlignment="1" applyProtection="1">
      <alignment horizontal="center"/>
      <protection locked="0" hidden="1"/>
    </xf>
    <xf numFmtId="9" fontId="0" fillId="4" borderId="0" xfId="2" applyNumberFormat="1" applyFont="1" applyFill="1" applyAlignment="1" applyProtection="1">
      <alignment horizontal="right"/>
    </xf>
    <xf numFmtId="165" fontId="2" fillId="4" borderId="0" xfId="0" applyNumberFormat="1" applyFont="1" applyFill="1" applyAlignment="1" applyProtection="1">
      <alignment horizontal="right"/>
    </xf>
    <xf numFmtId="165" fontId="2" fillId="4" borderId="0" xfId="2" applyNumberFormat="1" applyFont="1" applyFill="1" applyAlignment="1" applyProtection="1">
      <alignment horizontal="right" wrapText="1"/>
    </xf>
    <xf numFmtId="165" fontId="2" fillId="4" borderId="0" xfId="2" applyNumberFormat="1" applyFont="1" applyFill="1" applyAlignment="1" applyProtection="1">
      <alignment horizontal="right"/>
    </xf>
    <xf numFmtId="9" fontId="2" fillId="4" borderId="0" xfId="2" applyNumberFormat="1" applyFont="1" applyFill="1" applyAlignment="1" applyProtection="1"/>
    <xf numFmtId="9" fontId="2" fillId="4" borderId="0" xfId="2" applyNumberFormat="1" applyFont="1" applyFill="1" applyAlignment="1" applyProtection="1">
      <alignment horizontal="right" wrapText="1"/>
    </xf>
    <xf numFmtId="0" fontId="2" fillId="4" borderId="0" xfId="0" applyFont="1" applyFill="1" applyAlignment="1" applyProtection="1">
      <alignment horizontal="right"/>
    </xf>
    <xf numFmtId="165" fontId="0" fillId="7" borderId="1" xfId="2" applyNumberFormat="1" applyFont="1" applyFill="1" applyBorder="1" applyAlignment="1" applyProtection="1">
      <alignment horizontal="right"/>
    </xf>
    <xf numFmtId="9" fontId="0" fillId="4" borderId="0" xfId="2" applyNumberFormat="1" applyFont="1" applyFill="1" applyAlignment="1" applyProtection="1">
      <alignment horizontal="left"/>
    </xf>
    <xf numFmtId="9" fontId="0" fillId="7" borderId="1" xfId="2" applyNumberFormat="1" applyFont="1" applyFill="1" applyBorder="1" applyAlignment="1" applyProtection="1">
      <alignment horizontal="right"/>
    </xf>
    <xf numFmtId="168" fontId="0" fillId="7" borderId="1" xfId="2" applyNumberFormat="1" applyFont="1" applyFill="1" applyBorder="1" applyAlignment="1" applyProtection="1">
      <alignment horizontal="right"/>
    </xf>
    <xf numFmtId="165" fontId="0" fillId="7" borderId="1" xfId="0" applyNumberFormat="1" applyFill="1" applyBorder="1" applyAlignment="1" applyProtection="1"/>
    <xf numFmtId="0" fontId="0" fillId="3" borderId="0" xfId="0" applyFont="1" applyFill="1" applyProtection="1">
      <protection hidden="1"/>
    </xf>
    <xf numFmtId="0" fontId="2" fillId="0" borderId="0" xfId="0" applyFont="1" applyAlignment="1">
      <alignment horizontal="right"/>
    </xf>
    <xf numFmtId="168" fontId="0" fillId="0" borderId="0" xfId="0" applyNumberFormat="1" applyAlignment="1">
      <alignment horizontal="right"/>
    </xf>
    <xf numFmtId="0" fontId="0" fillId="0" borderId="0" xfId="0" applyAlignment="1">
      <alignment horizontal="right"/>
    </xf>
    <xf numFmtId="168" fontId="0" fillId="4" borderId="0" xfId="0" applyNumberFormat="1" applyFill="1" applyProtection="1"/>
    <xf numFmtId="165" fontId="2" fillId="4" borderId="0" xfId="1" applyNumberFormat="1" applyFont="1" applyFill="1" applyAlignment="1" applyProtection="1">
      <alignment horizontal="right"/>
    </xf>
    <xf numFmtId="0" fontId="0" fillId="4" borderId="0" xfId="0" applyFill="1" applyBorder="1" applyAlignment="1" applyProtection="1">
      <alignment horizontal="left"/>
    </xf>
    <xf numFmtId="0" fontId="0" fillId="7" borderId="1" xfId="0" applyFill="1" applyBorder="1" applyAlignment="1" applyProtection="1">
      <alignment horizontal="right"/>
    </xf>
    <xf numFmtId="168" fontId="0" fillId="7" borderId="1" xfId="0" applyNumberFormat="1" applyFill="1" applyBorder="1" applyAlignment="1" applyProtection="1">
      <alignment horizontal="right"/>
    </xf>
    <xf numFmtId="0" fontId="0" fillId="5" borderId="0" xfId="0" applyFill="1" applyProtection="1"/>
    <xf numFmtId="0" fontId="0" fillId="5" borderId="0" xfId="0" applyFill="1" applyAlignment="1" applyProtection="1">
      <alignment horizontal="center"/>
    </xf>
    <xf numFmtId="165" fontId="0" fillId="5" borderId="0" xfId="0" applyNumberFormat="1" applyFill="1" applyAlignment="1" applyProtection="1">
      <alignment horizontal="right"/>
    </xf>
    <xf numFmtId="9" fontId="0" fillId="5" borderId="0" xfId="2" applyNumberFormat="1" applyFont="1" applyFill="1" applyAlignment="1" applyProtection="1">
      <alignment horizontal="right"/>
    </xf>
    <xf numFmtId="14" fontId="2" fillId="5" borderId="0" xfId="1" applyNumberFormat="1" applyFont="1" applyFill="1" applyAlignment="1" applyProtection="1">
      <alignment horizontal="right"/>
    </xf>
    <xf numFmtId="0" fontId="4" fillId="5" borderId="0" xfId="0" applyFont="1" applyFill="1" applyProtection="1"/>
    <xf numFmtId="165" fontId="0" fillId="5" borderId="0" xfId="1" applyNumberFormat="1" applyFont="1" applyFill="1" applyAlignment="1" applyProtection="1">
      <alignment horizontal="right"/>
    </xf>
    <xf numFmtId="0" fontId="6" fillId="5" borderId="0" xfId="0" applyFont="1" applyFill="1" applyProtection="1"/>
    <xf numFmtId="0" fontId="2" fillId="5" borderId="0" xfId="0" applyFont="1" applyFill="1" applyAlignment="1" applyProtection="1">
      <alignment horizontal="center"/>
    </xf>
    <xf numFmtId="3" fontId="0" fillId="5" borderId="0" xfId="1" applyNumberFormat="1" applyFont="1" applyFill="1" applyAlignment="1" applyProtection="1">
      <alignment horizontal="right"/>
    </xf>
    <xf numFmtId="0" fontId="2" fillId="5" borderId="0" xfId="0" applyFont="1" applyFill="1" applyProtection="1"/>
    <xf numFmtId="165" fontId="2" fillId="5" borderId="0" xfId="0" applyNumberFormat="1" applyFont="1" applyFill="1" applyAlignment="1" applyProtection="1">
      <alignment horizontal="right"/>
    </xf>
    <xf numFmtId="9" fontId="2" fillId="5" borderId="0" xfId="2" applyNumberFormat="1" applyFont="1" applyFill="1" applyAlignment="1" applyProtection="1">
      <alignment horizontal="right"/>
    </xf>
    <xf numFmtId="168" fontId="1" fillId="6" borderId="0" xfId="1" applyNumberFormat="1" applyFont="1" applyFill="1" applyAlignment="1" applyProtection="1">
      <alignment horizontal="right"/>
    </xf>
    <xf numFmtId="168" fontId="0" fillId="5" borderId="0" xfId="1" applyNumberFormat="1" applyFont="1" applyFill="1" applyAlignment="1" applyProtection="1">
      <alignment horizontal="right"/>
    </xf>
    <xf numFmtId="0" fontId="0" fillId="5" borderId="0" xfId="0" applyFont="1" applyFill="1" applyProtection="1"/>
    <xf numFmtId="0" fontId="0" fillId="5" borderId="0" xfId="0" applyFont="1" applyFill="1" applyAlignment="1" applyProtection="1">
      <alignment horizontal="center"/>
    </xf>
    <xf numFmtId="165" fontId="0" fillId="5" borderId="0" xfId="0" applyNumberFormat="1" applyFont="1" applyFill="1" applyAlignment="1" applyProtection="1">
      <alignment horizontal="right"/>
    </xf>
    <xf numFmtId="9" fontId="1" fillId="5" borderId="0" xfId="2" applyNumberFormat="1" applyFont="1" applyFill="1" applyAlignment="1" applyProtection="1">
      <alignment horizontal="right"/>
    </xf>
    <xf numFmtId="168" fontId="1" fillId="5" borderId="0" xfId="1" applyNumberFormat="1" applyFont="1" applyFill="1" applyAlignment="1" applyProtection="1">
      <alignment horizontal="right"/>
    </xf>
    <xf numFmtId="0" fontId="5" fillId="5" borderId="0" xfId="0" applyFont="1" applyFill="1" applyProtection="1"/>
    <xf numFmtId="0" fontId="5" fillId="5" borderId="0" xfId="0" applyFont="1" applyFill="1" applyAlignment="1" applyProtection="1">
      <alignment horizontal="center"/>
    </xf>
    <xf numFmtId="165" fontId="5" fillId="5" borderId="0" xfId="0" applyNumberFormat="1" applyFont="1" applyFill="1" applyAlignment="1" applyProtection="1">
      <alignment horizontal="right"/>
    </xf>
    <xf numFmtId="9" fontId="5" fillId="5" borderId="0" xfId="2" applyNumberFormat="1" applyFont="1" applyFill="1" applyAlignment="1" applyProtection="1">
      <alignment horizontal="right"/>
    </xf>
    <xf numFmtId="165" fontId="5" fillId="5" borderId="0" xfId="1" applyNumberFormat="1" applyFont="1" applyFill="1" applyAlignment="1" applyProtection="1">
      <alignment horizontal="right"/>
    </xf>
    <xf numFmtId="0" fontId="0" fillId="5" borderId="2" xfId="0" applyFill="1" applyBorder="1" applyProtection="1"/>
    <xf numFmtId="0" fontId="0" fillId="5" borderId="2" xfId="0" applyFill="1" applyBorder="1" applyAlignment="1" applyProtection="1">
      <alignment horizontal="center"/>
    </xf>
    <xf numFmtId="165" fontId="0" fillId="5" borderId="2" xfId="0" applyNumberFormat="1" applyFill="1" applyBorder="1" applyAlignment="1" applyProtection="1">
      <alignment horizontal="right"/>
    </xf>
    <xf numFmtId="9" fontId="0" fillId="5" borderId="2" xfId="2" applyNumberFormat="1" applyFont="1" applyFill="1" applyBorder="1" applyAlignment="1" applyProtection="1">
      <alignment horizontal="right"/>
    </xf>
    <xf numFmtId="165" fontId="0" fillId="5" borderId="2" xfId="1" applyNumberFormat="1" applyFont="1" applyFill="1" applyBorder="1" applyAlignment="1" applyProtection="1">
      <alignment horizontal="right"/>
    </xf>
    <xf numFmtId="9" fontId="2" fillId="5" borderId="0" xfId="2" applyNumberFormat="1" applyFont="1" applyFill="1" applyAlignment="1" applyProtection="1">
      <alignment horizontal="right" wrapText="1"/>
    </xf>
    <xf numFmtId="9" fontId="0" fillId="5" borderId="0" xfId="2" applyFont="1" applyFill="1" applyAlignment="1" applyProtection="1">
      <alignment horizontal="right"/>
    </xf>
    <xf numFmtId="0" fontId="0" fillId="5" borderId="0" xfId="0" applyFill="1" applyBorder="1" applyAlignment="1" applyProtection="1">
      <alignment horizontal="left"/>
    </xf>
    <xf numFmtId="0" fontId="0" fillId="5" borderId="0" xfId="0" applyFill="1" applyAlignment="1" applyProtection="1">
      <alignment horizontal="left"/>
    </xf>
    <xf numFmtId="168" fontId="0" fillId="5" borderId="0" xfId="2" applyNumberFormat="1" applyFont="1" applyFill="1" applyAlignment="1" applyProtection="1">
      <alignment horizontal="right"/>
    </xf>
    <xf numFmtId="165" fontId="0" fillId="5" borderId="0" xfId="2" applyNumberFormat="1" applyFont="1" applyFill="1" applyAlignment="1" applyProtection="1">
      <alignment horizontal="right"/>
    </xf>
    <xf numFmtId="165" fontId="0" fillId="5" borderId="0" xfId="0" applyNumberFormat="1" applyFill="1" applyAlignment="1" applyProtection="1"/>
    <xf numFmtId="0" fontId="0" fillId="5" borderId="0" xfId="0" applyFill="1" applyBorder="1" applyAlignment="1" applyProtection="1">
      <alignment horizontal="center"/>
    </xf>
    <xf numFmtId="9" fontId="0" fillId="5" borderId="0" xfId="2" applyNumberFormat="1" applyFont="1" applyFill="1" applyAlignment="1" applyProtection="1">
      <alignment horizontal="left"/>
    </xf>
    <xf numFmtId="0" fontId="0" fillId="5" borderId="3" xfId="0" applyFill="1" applyBorder="1" applyProtection="1"/>
    <xf numFmtId="0" fontId="0" fillId="5" borderId="3" xfId="0" applyFill="1" applyBorder="1" applyAlignment="1" applyProtection="1">
      <alignment horizontal="left"/>
    </xf>
    <xf numFmtId="0" fontId="0" fillId="5" borderId="3" xfId="0" applyFill="1" applyBorder="1" applyAlignment="1" applyProtection="1">
      <alignment horizontal="right"/>
    </xf>
    <xf numFmtId="9" fontId="0" fillId="5" borderId="3" xfId="2" applyNumberFormat="1" applyFont="1" applyFill="1" applyBorder="1" applyAlignment="1" applyProtection="1">
      <alignment horizontal="right"/>
    </xf>
    <xf numFmtId="165" fontId="0" fillId="5" borderId="3" xfId="1" applyNumberFormat="1" applyFont="1" applyFill="1" applyBorder="1" applyAlignment="1" applyProtection="1">
      <alignment horizontal="right"/>
    </xf>
    <xf numFmtId="0" fontId="7" fillId="5" borderId="0" xfId="0" applyFont="1" applyFill="1" applyProtection="1"/>
    <xf numFmtId="0" fontId="4" fillId="5" borderId="4" xfId="0" applyFont="1" applyFill="1" applyBorder="1" applyProtection="1"/>
    <xf numFmtId="0" fontId="4" fillId="5" borderId="4" xfId="0" applyFont="1" applyFill="1" applyBorder="1" applyAlignment="1" applyProtection="1">
      <alignment horizontal="center"/>
    </xf>
    <xf numFmtId="165" fontId="4" fillId="5" borderId="4" xfId="0" applyNumberFormat="1" applyFont="1" applyFill="1" applyBorder="1" applyAlignment="1" applyProtection="1">
      <alignment horizontal="right"/>
    </xf>
    <xf numFmtId="9" fontId="4" fillId="5" borderId="4" xfId="2" applyNumberFormat="1" applyFont="1" applyFill="1" applyBorder="1" applyAlignment="1" applyProtection="1">
      <alignment horizontal="right"/>
    </xf>
    <xf numFmtId="165" fontId="4" fillId="5" borderId="4" xfId="1" applyNumberFormat="1" applyFont="1" applyFill="1" applyBorder="1" applyAlignment="1" applyProtection="1">
      <alignment horizontal="right"/>
    </xf>
    <xf numFmtId="165" fontId="0" fillId="6" borderId="1" xfId="1" applyNumberFormat="1" applyFont="1" applyFill="1" applyBorder="1" applyAlignment="1" applyProtection="1">
      <alignment horizontal="right"/>
      <protection locked="0"/>
    </xf>
    <xf numFmtId="168" fontId="0" fillId="2" borderId="0" xfId="1" applyNumberFormat="1" applyFont="1" applyFill="1" applyBorder="1" applyAlignment="1" applyProtection="1">
      <alignment horizontal="right"/>
      <protection hidden="1"/>
    </xf>
    <xf numFmtId="0" fontId="9" fillId="2" borderId="0" xfId="0" applyFont="1" applyFill="1" applyAlignment="1">
      <alignment vertical="center" wrapText="1"/>
    </xf>
    <xf numFmtId="0" fontId="0" fillId="2" borderId="0" xfId="0" applyFont="1" applyFill="1" applyAlignment="1">
      <alignment vertical="center" wrapText="1"/>
    </xf>
    <xf numFmtId="0" fontId="9" fillId="2" borderId="0" xfId="0" applyFont="1" applyFill="1" applyAlignment="1">
      <alignment horizontal="left" vertical="center" wrapText="1" indent="1"/>
    </xf>
    <xf numFmtId="0" fontId="0" fillId="2" borderId="0" xfId="0" applyFill="1"/>
    <xf numFmtId="165" fontId="0" fillId="0" borderId="1" xfId="1" applyNumberFormat="1" applyFont="1" applyFill="1" applyBorder="1" applyAlignment="1" applyProtection="1">
      <alignment horizontal="right"/>
      <protection locked="0" hidden="1"/>
    </xf>
    <xf numFmtId="0" fontId="10" fillId="3" borderId="0" xfId="0" applyFont="1" applyFill="1" applyProtection="1">
      <protection hidden="1"/>
    </xf>
    <xf numFmtId="0" fontId="0" fillId="3" borderId="0" xfId="0" applyFill="1" applyAlignment="1" applyProtection="1">
      <alignment horizontal="right" shrinkToFit="1"/>
      <protection hidden="1"/>
    </xf>
    <xf numFmtId="0" fontId="2" fillId="3" borderId="0" xfId="0" applyFont="1" applyFill="1" applyAlignment="1" applyProtection="1">
      <alignment shrinkToFit="1"/>
      <protection hidden="1"/>
    </xf>
    <xf numFmtId="0" fontId="2" fillId="3" borderId="0" xfId="0" applyFont="1" applyFill="1" applyAlignment="1" applyProtection="1">
      <alignment horizontal="center" shrinkToFit="1"/>
      <protection hidden="1"/>
    </xf>
    <xf numFmtId="165" fontId="2" fillId="3" borderId="0" xfId="0" applyNumberFormat="1" applyFont="1" applyFill="1" applyAlignment="1" applyProtection="1">
      <alignment horizontal="right" shrinkToFit="1"/>
      <protection hidden="1"/>
    </xf>
    <xf numFmtId="9" fontId="2" fillId="3" borderId="0" xfId="2" applyNumberFormat="1" applyFont="1" applyFill="1" applyAlignment="1" applyProtection="1">
      <alignment horizontal="right" shrinkToFit="1"/>
      <protection hidden="1"/>
    </xf>
    <xf numFmtId="165" fontId="2" fillId="3" borderId="0" xfId="1" applyNumberFormat="1" applyFont="1" applyFill="1" applyAlignment="1" applyProtection="1">
      <alignment horizontal="right" shrinkToFit="1"/>
      <protection hidden="1"/>
    </xf>
    <xf numFmtId="0" fontId="0" fillId="3" borderId="0" xfId="0" applyFill="1" applyAlignment="1" applyProtection="1">
      <alignment shrinkToFit="1"/>
      <protection hidden="1"/>
    </xf>
    <xf numFmtId="0" fontId="0" fillId="6" borderId="1" xfId="0" applyFill="1" applyBorder="1" applyAlignment="1" applyProtection="1">
      <alignment horizontal="center"/>
      <protection hidden="1"/>
    </xf>
    <xf numFmtId="3" fontId="0" fillId="6" borderId="8" xfId="0" applyNumberFormat="1" applyFill="1" applyBorder="1" applyAlignment="1" applyProtection="1">
      <alignment horizontal="right"/>
      <protection locked="0" hidden="1"/>
    </xf>
    <xf numFmtId="3" fontId="0" fillId="6" borderId="9" xfId="0" applyNumberFormat="1" applyFill="1" applyBorder="1" applyAlignment="1" applyProtection="1">
      <alignment horizontal="right"/>
      <protection locked="0" hidden="1"/>
    </xf>
    <xf numFmtId="0" fontId="0" fillId="6" borderId="1" xfId="0" applyFill="1" applyBorder="1" applyAlignment="1" applyProtection="1">
      <alignment horizontal="left"/>
      <protection locked="0" hidden="1"/>
    </xf>
    <xf numFmtId="0" fontId="0" fillId="6" borderId="1" xfId="0" applyFont="1" applyFill="1" applyBorder="1" applyAlignment="1" applyProtection="1">
      <alignment horizontal="left"/>
      <protection locked="0" hidden="1"/>
    </xf>
    <xf numFmtId="165" fontId="2" fillId="2" borderId="2" xfId="0" applyNumberFormat="1" applyFont="1" applyFill="1" applyBorder="1" applyAlignment="1" applyProtection="1">
      <alignment horizontal="right"/>
      <protection hidden="1"/>
    </xf>
    <xf numFmtId="166" fontId="0" fillId="6" borderId="8" xfId="0" applyNumberFormat="1" applyFill="1" applyBorder="1" applyAlignment="1" applyProtection="1">
      <alignment horizontal="right"/>
      <protection locked="0" hidden="1"/>
    </xf>
    <xf numFmtId="166" fontId="0" fillId="6" borderId="9" xfId="0" applyNumberFormat="1" applyFill="1" applyBorder="1" applyAlignment="1" applyProtection="1">
      <alignment horizontal="right"/>
      <protection locked="0" hidden="1"/>
    </xf>
    <xf numFmtId="168" fontId="0" fillId="7" borderId="8" xfId="0" applyNumberFormat="1" applyFill="1" applyBorder="1" applyAlignment="1" applyProtection="1">
      <alignment horizontal="right"/>
      <protection hidden="1"/>
    </xf>
    <xf numFmtId="168" fontId="0" fillId="7" borderId="9" xfId="0" applyNumberFormat="1" applyFill="1" applyBorder="1" applyAlignment="1" applyProtection="1">
      <alignment horizontal="right"/>
      <protection hidden="1"/>
    </xf>
    <xf numFmtId="165" fontId="0" fillId="7" borderId="8" xfId="0" applyNumberFormat="1" applyFill="1" applyBorder="1" applyAlignment="1" applyProtection="1">
      <alignment horizontal="right"/>
      <protection hidden="1"/>
    </xf>
    <xf numFmtId="165" fontId="0" fillId="7" borderId="9" xfId="0" applyNumberFormat="1" applyFill="1" applyBorder="1" applyAlignment="1" applyProtection="1">
      <alignment horizontal="right"/>
      <protection hidden="1"/>
    </xf>
    <xf numFmtId="0" fontId="0" fillId="6" borderId="1" xfId="0" applyFill="1" applyBorder="1" applyAlignment="1" applyProtection="1">
      <alignment horizontal="left"/>
      <protection locked="0"/>
    </xf>
    <xf numFmtId="0" fontId="6" fillId="4" borderId="0" xfId="0" applyFont="1" applyFill="1" applyAlignment="1" applyProtection="1">
      <alignment horizontal="left"/>
    </xf>
    <xf numFmtId="0" fontId="6" fillId="5" borderId="0" xfId="0" applyFont="1" applyFill="1" applyAlignment="1" applyProtection="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36"/>
  <sheetViews>
    <sheetView showGridLines="0" showRowColHeaders="0" workbookViewId="0">
      <selection activeCell="F16" sqref="F16"/>
    </sheetView>
  </sheetViews>
  <sheetFormatPr baseColWidth="10" defaultRowHeight="16.5" x14ac:dyDescent="0.3"/>
  <sheetData>
    <row r="1" spans="2:2" x14ac:dyDescent="0.3">
      <c r="B1" s="10"/>
    </row>
    <row r="2" spans="2:2" x14ac:dyDescent="0.3">
      <c r="B2" s="12" t="s">
        <v>212</v>
      </c>
    </row>
    <row r="3" spans="2:2" x14ac:dyDescent="0.3">
      <c r="B3" s="10"/>
    </row>
    <row r="4" spans="2:2" x14ac:dyDescent="0.3">
      <c r="B4" s="10" t="s">
        <v>213</v>
      </c>
    </row>
    <row r="5" spans="2:2" x14ac:dyDescent="0.3">
      <c r="B5" s="10" t="s">
        <v>214</v>
      </c>
    </row>
    <row r="6" spans="2:2" x14ac:dyDescent="0.3">
      <c r="B6" s="10"/>
    </row>
    <row r="7" spans="2:2" x14ac:dyDescent="0.3">
      <c r="B7" s="10" t="s">
        <v>215</v>
      </c>
    </row>
    <row r="8" spans="2:2" x14ac:dyDescent="0.3">
      <c r="B8" s="10" t="s">
        <v>216</v>
      </c>
    </row>
    <row r="9" spans="2:2" x14ac:dyDescent="0.3">
      <c r="B9" s="10" t="s">
        <v>217</v>
      </c>
    </row>
    <row r="10" spans="2:2" x14ac:dyDescent="0.3">
      <c r="B10" s="10" t="s">
        <v>218</v>
      </c>
    </row>
    <row r="11" spans="2:2" x14ac:dyDescent="0.3">
      <c r="B11" s="10" t="s">
        <v>219</v>
      </c>
    </row>
    <row r="12" spans="2:2" x14ac:dyDescent="0.3">
      <c r="B12" s="10" t="s">
        <v>220</v>
      </c>
    </row>
    <row r="13" spans="2:2" x14ac:dyDescent="0.3">
      <c r="B13" s="10"/>
    </row>
    <row r="14" spans="2:2" x14ac:dyDescent="0.3">
      <c r="B14" s="12"/>
    </row>
    <row r="15" spans="2:2" x14ac:dyDescent="0.3">
      <c r="B15" s="12"/>
    </row>
    <row r="16" spans="2:2" x14ac:dyDescent="0.3">
      <c r="B16" s="12"/>
    </row>
    <row r="17" spans="2:2" x14ac:dyDescent="0.3">
      <c r="B17" s="12"/>
    </row>
    <row r="18" spans="2:2" x14ac:dyDescent="0.3">
      <c r="B18" s="10"/>
    </row>
    <row r="19" spans="2:2" x14ac:dyDescent="0.3">
      <c r="B19" s="10"/>
    </row>
    <row r="20" spans="2:2" x14ac:dyDescent="0.3">
      <c r="B20" s="10"/>
    </row>
    <row r="21" spans="2:2" x14ac:dyDescent="0.3">
      <c r="B21" s="10"/>
    </row>
    <row r="22" spans="2:2" x14ac:dyDescent="0.3">
      <c r="B22" s="10"/>
    </row>
    <row r="23" spans="2:2" x14ac:dyDescent="0.3">
      <c r="B23" s="10"/>
    </row>
    <row r="24" spans="2:2" x14ac:dyDescent="0.3">
      <c r="B24" s="10"/>
    </row>
    <row r="25" spans="2:2" x14ac:dyDescent="0.3">
      <c r="B25" s="10"/>
    </row>
    <row r="26" spans="2:2" x14ac:dyDescent="0.3">
      <c r="B26" s="12"/>
    </row>
    <row r="27" spans="2:2" x14ac:dyDescent="0.3">
      <c r="B27" s="10"/>
    </row>
    <row r="28" spans="2:2" x14ac:dyDescent="0.3">
      <c r="B28" s="10"/>
    </row>
    <row r="29" spans="2:2" x14ac:dyDescent="0.3">
      <c r="B29" s="10"/>
    </row>
    <row r="30" spans="2:2" x14ac:dyDescent="0.3">
      <c r="B30" s="10"/>
    </row>
    <row r="31" spans="2:2" x14ac:dyDescent="0.3">
      <c r="B31" s="10"/>
    </row>
    <row r="32" spans="2:2" x14ac:dyDescent="0.3">
      <c r="B32" s="12"/>
    </row>
    <row r="33" spans="2:2" x14ac:dyDescent="0.3">
      <c r="B33" s="10"/>
    </row>
    <row r="34" spans="2:2" x14ac:dyDescent="0.3">
      <c r="B34" s="10"/>
    </row>
    <row r="35" spans="2:2" x14ac:dyDescent="0.3">
      <c r="B35" s="10"/>
    </row>
    <row r="36" spans="2:2" x14ac:dyDescent="0.3">
      <c r="B36" s="10"/>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workbookViewId="0">
      <pane ySplit="3" topLeftCell="A28" activePane="bottomLeft" state="frozen"/>
      <selection pane="bottomLeft" activeCell="B5" sqref="B5"/>
    </sheetView>
  </sheetViews>
  <sheetFormatPr baseColWidth="10" defaultRowHeight="16.5" x14ac:dyDescent="0.3"/>
  <cols>
    <col min="1" max="1" width="39.25" style="2" bestFit="1" customWidth="1"/>
    <col min="2" max="2" width="23.875" style="2" customWidth="1"/>
  </cols>
  <sheetData>
    <row r="1" spans="1:3" ht="20.25" x14ac:dyDescent="0.35">
      <c r="A1" s="7" t="s">
        <v>130</v>
      </c>
    </row>
    <row r="2" spans="1:3" x14ac:dyDescent="0.3">
      <c r="A2" s="1"/>
    </row>
    <row r="3" spans="1:3" x14ac:dyDescent="0.3">
      <c r="A3" s="1" t="s">
        <v>1</v>
      </c>
      <c r="B3" s="1" t="s">
        <v>2</v>
      </c>
    </row>
    <row r="4" spans="1:3" x14ac:dyDescent="0.3">
      <c r="A4" s="3">
        <v>0</v>
      </c>
      <c r="B4" s="3">
        <v>485</v>
      </c>
      <c r="C4" s="3">
        <v>0</v>
      </c>
    </row>
    <row r="5" spans="1:3" x14ac:dyDescent="0.3">
      <c r="A5" s="3">
        <v>300</v>
      </c>
      <c r="B5" s="3">
        <v>485</v>
      </c>
      <c r="C5" s="3">
        <v>29</v>
      </c>
    </row>
    <row r="6" spans="1:3" x14ac:dyDescent="0.3">
      <c r="A6" s="4">
        <v>600</v>
      </c>
      <c r="B6" s="3">
        <v>485</v>
      </c>
      <c r="C6" s="3">
        <v>53</v>
      </c>
    </row>
    <row r="7" spans="1:3" x14ac:dyDescent="0.3">
      <c r="A7" s="3">
        <v>900</v>
      </c>
      <c r="B7" s="4">
        <v>485</v>
      </c>
      <c r="C7" s="4">
        <v>76</v>
      </c>
    </row>
    <row r="8" spans="1:3" x14ac:dyDescent="0.3">
      <c r="A8" s="4">
        <v>1200</v>
      </c>
      <c r="B8" s="4">
        <v>485</v>
      </c>
      <c r="C8" s="4">
        <v>100</v>
      </c>
    </row>
    <row r="9" spans="1:3" x14ac:dyDescent="0.3">
      <c r="A9" s="3">
        <v>1500</v>
      </c>
      <c r="B9" s="4">
        <v>485</v>
      </c>
      <c r="C9" s="4">
        <v>123</v>
      </c>
    </row>
    <row r="10" spans="1:3" x14ac:dyDescent="0.3">
      <c r="A10" s="4">
        <v>2000</v>
      </c>
      <c r="B10" s="4">
        <v>485</v>
      </c>
      <c r="C10" s="4">
        <v>157</v>
      </c>
    </row>
    <row r="11" spans="1:3" x14ac:dyDescent="0.3">
      <c r="A11" s="3">
        <v>2500</v>
      </c>
      <c r="B11" s="4">
        <v>485</v>
      </c>
      <c r="C11" s="4">
        <v>189</v>
      </c>
    </row>
    <row r="12" spans="1:3" x14ac:dyDescent="0.3">
      <c r="A12" s="4">
        <v>3000</v>
      </c>
      <c r="B12" s="4">
        <v>485</v>
      </c>
      <c r="C12" s="4">
        <v>222</v>
      </c>
    </row>
    <row r="13" spans="1:3" x14ac:dyDescent="0.3">
      <c r="A13" s="3">
        <v>3500</v>
      </c>
      <c r="B13" s="4">
        <v>485</v>
      </c>
      <c r="C13" s="4">
        <v>255</v>
      </c>
    </row>
    <row r="14" spans="1:3" x14ac:dyDescent="0.3">
      <c r="A14" s="4">
        <v>4000</v>
      </c>
      <c r="B14" s="4">
        <v>485</v>
      </c>
      <c r="C14" s="4">
        <v>288</v>
      </c>
    </row>
    <row r="15" spans="1:3" x14ac:dyDescent="0.3">
      <c r="A15" s="3">
        <v>4500</v>
      </c>
      <c r="B15" s="4">
        <v>485</v>
      </c>
      <c r="C15" s="4">
        <v>321</v>
      </c>
    </row>
    <row r="16" spans="1:3" x14ac:dyDescent="0.3">
      <c r="A16" s="4">
        <v>5000</v>
      </c>
      <c r="B16" s="4">
        <v>485</v>
      </c>
      <c r="C16" s="4">
        <v>354</v>
      </c>
    </row>
    <row r="17" spans="1:3" x14ac:dyDescent="0.3">
      <c r="A17" s="4">
        <v>6000</v>
      </c>
      <c r="B17" s="4">
        <v>485</v>
      </c>
      <c r="C17" s="4">
        <v>398</v>
      </c>
    </row>
    <row r="18" spans="1:3" x14ac:dyDescent="0.3">
      <c r="A18" s="4">
        <v>7000</v>
      </c>
      <c r="B18" s="4">
        <v>485</v>
      </c>
      <c r="C18" s="4">
        <v>441</v>
      </c>
    </row>
    <row r="19" spans="1:3" x14ac:dyDescent="0.3">
      <c r="A19" s="4">
        <v>8000</v>
      </c>
      <c r="B19" s="4">
        <v>485</v>
      </c>
    </row>
    <row r="20" spans="1:3" x14ac:dyDescent="0.3">
      <c r="A20" s="4">
        <v>9000</v>
      </c>
      <c r="B20" s="4">
        <v>528</v>
      </c>
    </row>
    <row r="21" spans="1:3" x14ac:dyDescent="0.3">
      <c r="A21" s="4">
        <v>10000</v>
      </c>
      <c r="B21" s="4">
        <v>571</v>
      </c>
    </row>
    <row r="22" spans="1:3" x14ac:dyDescent="0.3">
      <c r="A22" s="4">
        <v>13000</v>
      </c>
      <c r="B22" s="4">
        <v>618</v>
      </c>
    </row>
    <row r="23" spans="1:3" x14ac:dyDescent="0.3">
      <c r="A23" s="4">
        <v>16000</v>
      </c>
      <c r="B23" s="4">
        <v>665</v>
      </c>
    </row>
    <row r="24" spans="1:3" x14ac:dyDescent="0.3">
      <c r="A24" s="4">
        <v>19000</v>
      </c>
      <c r="B24" s="4">
        <v>712</v>
      </c>
    </row>
    <row r="25" spans="1:3" x14ac:dyDescent="0.3">
      <c r="A25" s="4">
        <v>22000</v>
      </c>
      <c r="B25" s="4">
        <v>759</v>
      </c>
    </row>
    <row r="26" spans="1:3" x14ac:dyDescent="0.3">
      <c r="A26" s="4">
        <v>25000</v>
      </c>
      <c r="B26" s="4">
        <v>806</v>
      </c>
    </row>
    <row r="27" spans="1:3" x14ac:dyDescent="0.3">
      <c r="A27" s="4">
        <v>30000</v>
      </c>
      <c r="B27" s="4">
        <v>892</v>
      </c>
    </row>
    <row r="28" spans="1:3" x14ac:dyDescent="0.3">
      <c r="A28" s="4">
        <v>35000</v>
      </c>
      <c r="B28" s="4">
        <v>977</v>
      </c>
    </row>
    <row r="29" spans="1:3" ht="16.5" customHeight="1" x14ac:dyDescent="0.3">
      <c r="A29" s="4">
        <v>40000</v>
      </c>
      <c r="B29" s="4">
        <v>1061</v>
      </c>
    </row>
    <row r="30" spans="1:3" x14ac:dyDescent="0.3">
      <c r="A30" s="4">
        <v>45000</v>
      </c>
      <c r="B30" s="6">
        <v>1146</v>
      </c>
    </row>
    <row r="31" spans="1:3" x14ac:dyDescent="0.3">
      <c r="A31" s="4">
        <v>50000</v>
      </c>
      <c r="B31" s="4">
        <v>1230</v>
      </c>
    </row>
    <row r="32" spans="1:3" x14ac:dyDescent="0.3">
      <c r="A32" s="4">
        <v>65000</v>
      </c>
      <c r="B32" s="4">
        <v>1320</v>
      </c>
    </row>
    <row r="33" spans="1:2" x14ac:dyDescent="0.3">
      <c r="A33" s="4">
        <v>80000</v>
      </c>
      <c r="B33" s="4">
        <v>1411</v>
      </c>
    </row>
    <row r="34" spans="1:2" x14ac:dyDescent="0.3">
      <c r="A34" s="4">
        <v>95000</v>
      </c>
      <c r="B34" s="4">
        <v>1502</v>
      </c>
    </row>
    <row r="35" spans="1:2" x14ac:dyDescent="0.3">
      <c r="A35" s="4">
        <v>110000</v>
      </c>
      <c r="B35" s="4">
        <v>1593</v>
      </c>
    </row>
    <row r="36" spans="1:2" x14ac:dyDescent="0.3">
      <c r="A36" s="4">
        <v>125000</v>
      </c>
      <c r="B36" s="4">
        <v>1683</v>
      </c>
    </row>
    <row r="37" spans="1:2" x14ac:dyDescent="0.3">
      <c r="A37" s="4">
        <v>140000</v>
      </c>
      <c r="B37" s="4">
        <v>1773</v>
      </c>
    </row>
    <row r="38" spans="1:2" x14ac:dyDescent="0.3">
      <c r="A38" s="4">
        <v>155000</v>
      </c>
      <c r="B38" s="4">
        <v>1864</v>
      </c>
    </row>
    <row r="39" spans="1:2" x14ac:dyDescent="0.3">
      <c r="A39" s="4">
        <v>170000</v>
      </c>
      <c r="B39" s="4">
        <v>1954</v>
      </c>
    </row>
    <row r="40" spans="1:2" x14ac:dyDescent="0.3">
      <c r="A40" s="4">
        <v>185000</v>
      </c>
      <c r="B40" s="4">
        <v>2045</v>
      </c>
    </row>
    <row r="41" spans="1:2" x14ac:dyDescent="0.3">
      <c r="A41" s="4">
        <v>200000</v>
      </c>
      <c r="B41" s="4">
        <v>2136</v>
      </c>
    </row>
    <row r="42" spans="1:2" x14ac:dyDescent="0.3">
      <c r="A42" s="4">
        <v>230000</v>
      </c>
      <c r="B42" s="4">
        <v>2275</v>
      </c>
    </row>
    <row r="43" spans="1:2" x14ac:dyDescent="0.3">
      <c r="A43" s="4">
        <v>260000</v>
      </c>
      <c r="B43" s="4">
        <v>2414</v>
      </c>
    </row>
    <row r="44" spans="1:2" x14ac:dyDescent="0.3">
      <c r="A44" s="4">
        <v>290000</v>
      </c>
      <c r="B44" s="4">
        <v>2552</v>
      </c>
    </row>
    <row r="45" spans="1:2" x14ac:dyDescent="0.3">
      <c r="A45" s="4">
        <v>320000</v>
      </c>
      <c r="B45" s="4">
        <v>2697</v>
      </c>
    </row>
    <row r="46" spans="1:2" x14ac:dyDescent="0.3">
      <c r="A46" s="4">
        <v>350000</v>
      </c>
      <c r="B46" s="4">
        <v>2760</v>
      </c>
    </row>
    <row r="47" spans="1:2" x14ac:dyDescent="0.3">
      <c r="A47" s="4">
        <v>380000</v>
      </c>
      <c r="B47" s="4">
        <v>2821</v>
      </c>
    </row>
    <row r="48" spans="1:2" x14ac:dyDescent="0.3">
      <c r="A48" s="4">
        <v>410000</v>
      </c>
      <c r="B48" s="4">
        <v>2882</v>
      </c>
    </row>
    <row r="49" spans="1:2" x14ac:dyDescent="0.3">
      <c r="A49" s="4">
        <v>440000</v>
      </c>
      <c r="B49" s="4">
        <v>2939</v>
      </c>
    </row>
    <row r="50" spans="1:2" x14ac:dyDescent="0.3">
      <c r="A50" s="4">
        <v>470000</v>
      </c>
      <c r="B50" s="4">
        <v>2995</v>
      </c>
    </row>
    <row r="51" spans="1:2" x14ac:dyDescent="0.3">
      <c r="A51" s="4">
        <v>500000</v>
      </c>
      <c r="B51" s="4">
        <v>3051</v>
      </c>
    </row>
    <row r="52" spans="1:2" x14ac:dyDescent="0.3">
      <c r="A52" s="4">
        <v>550000</v>
      </c>
      <c r="B52" s="4">
        <v>3132</v>
      </c>
    </row>
    <row r="53" spans="1:2" x14ac:dyDescent="0.3">
      <c r="A53" s="4">
        <v>600000</v>
      </c>
      <c r="B53" s="4">
        <v>3211</v>
      </c>
    </row>
    <row r="54" spans="1:2" ht="33" x14ac:dyDescent="0.3">
      <c r="A54" s="9" t="s">
        <v>98</v>
      </c>
      <c r="B54" s="4">
        <v>141</v>
      </c>
    </row>
    <row r="55" spans="1:2" x14ac:dyDescent="0.3">
      <c r="A55" s="9">
        <v>5000000</v>
      </c>
      <c r="B55" s="4">
        <f>(A55-A53)/50000*B54+B53</f>
        <v>15619</v>
      </c>
    </row>
    <row r="56" spans="1:2" ht="33" x14ac:dyDescent="0.3">
      <c r="A56" s="9" t="s">
        <v>99</v>
      </c>
      <c r="B56" s="4">
        <v>106</v>
      </c>
    </row>
    <row r="57" spans="1:2" x14ac:dyDescent="0.3">
      <c r="A57" s="9">
        <v>25000000</v>
      </c>
      <c r="B57" s="4">
        <f>(A57-A55)/50000*B56+B55</f>
        <v>58019</v>
      </c>
    </row>
    <row r="58" spans="1:2" ht="33" x14ac:dyDescent="0.3">
      <c r="A58" s="9" t="s">
        <v>100</v>
      </c>
      <c r="B58" s="4">
        <v>83</v>
      </c>
    </row>
    <row r="59" spans="1:2" x14ac:dyDescent="0.3">
      <c r="A59" s="4"/>
      <c r="B59" s="4"/>
    </row>
    <row r="60" spans="1:2" x14ac:dyDescent="0.3">
      <c r="A60" s="4"/>
      <c r="B60" s="4"/>
    </row>
    <row r="61" spans="1:2" x14ac:dyDescent="0.3">
      <c r="A61" s="4"/>
      <c r="B61" s="4"/>
    </row>
    <row r="62" spans="1:2" x14ac:dyDescent="0.3">
      <c r="A62" s="4"/>
      <c r="B62" s="4"/>
    </row>
    <row r="63" spans="1:2" x14ac:dyDescent="0.3">
      <c r="A63" s="4"/>
      <c r="B63" s="4"/>
    </row>
    <row r="64" spans="1:2" x14ac:dyDescent="0.3">
      <c r="A64" s="4"/>
      <c r="B64" s="4"/>
    </row>
    <row r="65" spans="1:2" x14ac:dyDescent="0.3">
      <c r="A65" s="4"/>
      <c r="B65" s="4"/>
    </row>
    <row r="66" spans="1:2" x14ac:dyDescent="0.3">
      <c r="A66" s="4"/>
      <c r="B66" s="4"/>
    </row>
    <row r="67" spans="1:2" x14ac:dyDescent="0.3">
      <c r="A67" s="4"/>
      <c r="B67" s="4"/>
    </row>
    <row r="68" spans="1:2" x14ac:dyDescent="0.3">
      <c r="A68" s="4"/>
      <c r="B68" s="4"/>
    </row>
    <row r="69" spans="1:2" x14ac:dyDescent="0.3">
      <c r="A69" s="4"/>
      <c r="B69" s="4"/>
    </row>
    <row r="70" spans="1:2" x14ac:dyDescent="0.3">
      <c r="A70" s="4"/>
      <c r="B70" s="4"/>
    </row>
    <row r="71" spans="1:2" x14ac:dyDescent="0.3">
      <c r="A71" s="4"/>
      <c r="B71" s="4"/>
    </row>
    <row r="72" spans="1:2" x14ac:dyDescent="0.3">
      <c r="A72" s="4"/>
      <c r="B72" s="4"/>
    </row>
    <row r="73" spans="1:2" x14ac:dyDescent="0.3">
      <c r="A73" s="4"/>
      <c r="B73" s="4"/>
    </row>
    <row r="74" spans="1:2" x14ac:dyDescent="0.3">
      <c r="A74" s="4"/>
      <c r="B74" s="4"/>
    </row>
    <row r="75" spans="1:2" x14ac:dyDescent="0.3">
      <c r="A75" s="4"/>
      <c r="B75" s="4"/>
    </row>
    <row r="76" spans="1:2" x14ac:dyDescent="0.3">
      <c r="A76" s="4"/>
      <c r="B76" s="4"/>
    </row>
    <row r="77" spans="1:2" x14ac:dyDescent="0.3">
      <c r="A77" s="4"/>
      <c r="B77" s="4"/>
    </row>
    <row r="78" spans="1:2" x14ac:dyDescent="0.3">
      <c r="A78" s="4"/>
      <c r="B78" s="4"/>
    </row>
    <row r="79" spans="1:2" x14ac:dyDescent="0.3">
      <c r="A79" s="4"/>
      <c r="B79" s="4"/>
    </row>
    <row r="80" spans="1:2" x14ac:dyDescent="0.3">
      <c r="A80" s="4"/>
      <c r="B80" s="4"/>
    </row>
    <row r="81" spans="1:2" x14ac:dyDescent="0.3">
      <c r="A81" s="4"/>
      <c r="B81" s="4"/>
    </row>
    <row r="82" spans="1:2" x14ac:dyDescent="0.3">
      <c r="A82" s="4"/>
      <c r="B82" s="4"/>
    </row>
    <row r="83" spans="1:2" x14ac:dyDescent="0.3">
      <c r="A83" s="4"/>
      <c r="B83" s="4"/>
    </row>
    <row r="84" spans="1:2" x14ac:dyDescent="0.3">
      <c r="A84" s="4"/>
      <c r="B84" s="4"/>
    </row>
    <row r="85" spans="1:2" x14ac:dyDescent="0.3">
      <c r="A85" s="4"/>
      <c r="B85" s="4"/>
    </row>
    <row r="86" spans="1:2" x14ac:dyDescent="0.3">
      <c r="A86" s="4"/>
      <c r="B86" s="4"/>
    </row>
    <row r="87" spans="1:2" x14ac:dyDescent="0.3">
      <c r="A87" s="4"/>
      <c r="B87" s="4"/>
    </row>
    <row r="88" spans="1:2" x14ac:dyDescent="0.3">
      <c r="A88" s="4"/>
      <c r="B88" s="4"/>
    </row>
    <row r="89" spans="1:2" x14ac:dyDescent="0.3">
      <c r="A89" s="4"/>
      <c r="B89" s="4"/>
    </row>
    <row r="90" spans="1:2" x14ac:dyDescent="0.3">
      <c r="A90" s="4"/>
      <c r="B90" s="4"/>
    </row>
    <row r="91" spans="1:2" x14ac:dyDescent="0.3">
      <c r="A91" s="4"/>
      <c r="B91" s="4"/>
    </row>
    <row r="92" spans="1:2" x14ac:dyDescent="0.3">
      <c r="A92" s="4"/>
      <c r="B92" s="4"/>
    </row>
    <row r="93" spans="1:2" x14ac:dyDescent="0.3">
      <c r="A93" s="4"/>
      <c r="B93" s="4"/>
    </row>
    <row r="94" spans="1:2" x14ac:dyDescent="0.3">
      <c r="A94" s="4"/>
      <c r="B94" s="4"/>
    </row>
    <row r="95" spans="1:2" x14ac:dyDescent="0.3">
      <c r="A95" s="4"/>
      <c r="B95" s="4"/>
    </row>
    <row r="96" spans="1:2" x14ac:dyDescent="0.3">
      <c r="A96" s="4"/>
      <c r="B96" s="4"/>
    </row>
    <row r="97" spans="1:2" x14ac:dyDescent="0.3">
      <c r="A97" s="4"/>
      <c r="B97" s="4"/>
    </row>
    <row r="98" spans="1:2" x14ac:dyDescent="0.3">
      <c r="A98" s="4"/>
      <c r="B98" s="4"/>
    </row>
    <row r="99" spans="1:2" x14ac:dyDescent="0.3">
      <c r="A99" s="4"/>
      <c r="B99" s="4"/>
    </row>
    <row r="100" spans="1:2" x14ac:dyDescent="0.3">
      <c r="A100" s="4"/>
      <c r="B100" s="4"/>
    </row>
    <row r="101" spans="1:2" x14ac:dyDescent="0.3">
      <c r="A101" s="4"/>
      <c r="B101" s="4"/>
    </row>
    <row r="102" spans="1:2" x14ac:dyDescent="0.3">
      <c r="A102" s="4"/>
      <c r="B102" s="4"/>
    </row>
    <row r="103" spans="1:2" x14ac:dyDescent="0.3">
      <c r="A103" s="4"/>
      <c r="B103" s="4"/>
    </row>
    <row r="104" spans="1:2" x14ac:dyDescent="0.3">
      <c r="A104" s="4"/>
      <c r="B104" s="4"/>
    </row>
    <row r="105" spans="1:2" x14ac:dyDescent="0.3">
      <c r="A105" s="4"/>
      <c r="B105" s="4"/>
    </row>
    <row r="106" spans="1:2" x14ac:dyDescent="0.3">
      <c r="A106" s="4"/>
      <c r="B106" s="4"/>
    </row>
    <row r="107" spans="1:2" x14ac:dyDescent="0.3">
      <c r="A107" s="4"/>
      <c r="B107" s="4"/>
    </row>
  </sheetData>
  <sheetProtection algorithmName="SHA-512" hashValue="NSPUQKuAFOrLiuTqqhSE6L/7Dewscwx9+/Ph2rHrBgJCifdC2RZwWKdosVlREeeS08PQEehLMB5etdAeyx1spA==" saltValue="sT99Qc/KPY2kThTDEeQm5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showGridLines="0" showRowColHeaders="0" topLeftCell="A4" workbookViewId="0">
      <selection activeCell="G11" sqref="G11"/>
    </sheetView>
  </sheetViews>
  <sheetFormatPr baseColWidth="10" defaultColWidth="11" defaultRowHeight="16.5" x14ac:dyDescent="0.3"/>
  <cols>
    <col min="1" max="1" width="11" style="165"/>
    <col min="2" max="2" width="18.375" style="164" customWidth="1"/>
    <col min="3" max="3" width="1.625" style="165" customWidth="1"/>
    <col min="4" max="4" width="61.625" style="166" customWidth="1"/>
    <col min="5" max="16384" width="11" style="165"/>
  </cols>
  <sheetData>
    <row r="2" spans="2:4" x14ac:dyDescent="0.3">
      <c r="B2" s="164" t="s">
        <v>161</v>
      </c>
      <c r="D2" s="171">
        <v>45003</v>
      </c>
    </row>
    <row r="4" spans="2:4" x14ac:dyDescent="0.3">
      <c r="B4" s="164" t="s">
        <v>162</v>
      </c>
      <c r="D4" s="168">
        <v>2023</v>
      </c>
    </row>
    <row r="6" spans="2:4" x14ac:dyDescent="0.3">
      <c r="B6" s="164" t="s">
        <v>149</v>
      </c>
      <c r="D6" s="168" t="s">
        <v>225</v>
      </c>
    </row>
    <row r="9" spans="2:4" x14ac:dyDescent="0.3">
      <c r="B9" s="164" t="s">
        <v>150</v>
      </c>
      <c r="D9" s="168">
        <v>99999</v>
      </c>
    </row>
    <row r="11" spans="2:4" x14ac:dyDescent="0.3">
      <c r="B11" s="164" t="s">
        <v>151</v>
      </c>
      <c r="D11" s="168" t="s">
        <v>263</v>
      </c>
    </row>
    <row r="13" spans="2:4" x14ac:dyDescent="0.3">
      <c r="B13" s="164" t="s">
        <v>152</v>
      </c>
      <c r="D13" s="170"/>
    </row>
    <row r="14" spans="2:4" x14ac:dyDescent="0.3">
      <c r="D14" s="169"/>
    </row>
    <row r="16" spans="2:4" x14ac:dyDescent="0.3">
      <c r="B16" s="164" t="s">
        <v>153</v>
      </c>
      <c r="D16" s="168"/>
    </row>
    <row r="18" spans="2:4" x14ac:dyDescent="0.3">
      <c r="B18" s="164" t="s">
        <v>154</v>
      </c>
      <c r="D18" s="168"/>
    </row>
    <row r="20" spans="2:4" x14ac:dyDescent="0.3">
      <c r="B20" s="164" t="s">
        <v>155</v>
      </c>
      <c r="D20" s="168"/>
    </row>
    <row r="22" spans="2:4" x14ac:dyDescent="0.3">
      <c r="B22" s="164" t="s">
        <v>163</v>
      </c>
    </row>
    <row r="23" spans="2:4" x14ac:dyDescent="0.3">
      <c r="B23" s="164" t="s">
        <v>156</v>
      </c>
      <c r="D23" s="168"/>
    </row>
    <row r="24" spans="2:4" x14ac:dyDescent="0.3">
      <c r="B24" s="164" t="s">
        <v>157</v>
      </c>
      <c r="D24" s="168"/>
    </row>
    <row r="25" spans="2:4" x14ac:dyDescent="0.3">
      <c r="B25" s="164" t="s">
        <v>158</v>
      </c>
      <c r="D25" s="168"/>
    </row>
    <row r="26" spans="2:4" x14ac:dyDescent="0.3">
      <c r="B26" s="164" t="s">
        <v>159</v>
      </c>
      <c r="D26" s="168"/>
    </row>
    <row r="28" spans="2:4" x14ac:dyDescent="0.3">
      <c r="B28" s="164" t="s">
        <v>160</v>
      </c>
      <c r="D28" s="170"/>
    </row>
    <row r="29" spans="2:4" x14ac:dyDescent="0.3">
      <c r="D29" s="176"/>
    </row>
    <row r="30" spans="2:4" x14ac:dyDescent="0.3">
      <c r="D30" s="176"/>
    </row>
    <row r="31" spans="2:4" x14ac:dyDescent="0.3">
      <c r="D31" s="176"/>
    </row>
    <row r="32" spans="2:4" x14ac:dyDescent="0.3">
      <c r="D32" s="176"/>
    </row>
    <row r="33" spans="4:4" x14ac:dyDescent="0.3">
      <c r="D33" s="176"/>
    </row>
    <row r="34" spans="4:4" x14ac:dyDescent="0.3">
      <c r="D34" s="176"/>
    </row>
    <row r="35" spans="4:4" x14ac:dyDescent="0.3">
      <c r="D35" s="176"/>
    </row>
    <row r="36" spans="4:4" x14ac:dyDescent="0.3">
      <c r="D36" s="176"/>
    </row>
    <row r="37" spans="4:4" x14ac:dyDescent="0.3">
      <c r="D37" s="176"/>
    </row>
    <row r="38" spans="4:4" x14ac:dyDescent="0.3">
      <c r="D38" s="176"/>
    </row>
    <row r="39" spans="4:4" x14ac:dyDescent="0.3">
      <c r="D39" s="169"/>
    </row>
  </sheetData>
  <dataValidations count="1">
    <dataValidation type="list" allowBlank="1" showInputMessage="1" showErrorMessage="1" sqref="D6">
      <formula1>"Honorarangebot,Honorarvereinbarung"</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outlinePr summaryBelow="0" summaryRight="0"/>
    <pageSetUpPr fitToPage="1"/>
  </sheetPr>
  <dimension ref="A1:O124"/>
  <sheetViews>
    <sheetView showGridLines="0" showRowColHeaders="0" showZeros="0" tabSelected="1" zoomScaleNormal="100" workbookViewId="0">
      <selection activeCell="M105" sqref="M105"/>
    </sheetView>
  </sheetViews>
  <sheetFormatPr baseColWidth="10" defaultColWidth="11" defaultRowHeight="16.5" outlineLevelRow="1" outlineLevelCol="1" x14ac:dyDescent="0.3"/>
  <cols>
    <col min="1" max="1" width="2.75" style="198" customWidth="1"/>
    <col min="2" max="2" width="50.625" style="198" customWidth="1"/>
    <col min="3" max="3" width="2.875" style="199" customWidth="1"/>
    <col min="4" max="4" width="25.125" style="199" customWidth="1" collapsed="1"/>
    <col min="5" max="5" width="25.75" style="199" hidden="1" customWidth="1" outlineLevel="1"/>
    <col min="6" max="6" width="12.875" style="200" hidden="1" customWidth="1" outlineLevel="1"/>
    <col min="7" max="7" width="17" style="201" hidden="1" customWidth="1" outlineLevel="1"/>
    <col min="8" max="8" width="15.875" style="201" hidden="1" customWidth="1" outlineLevel="1"/>
    <col min="9" max="9" width="13.75" style="201" hidden="1" customWidth="1" outlineLevel="1"/>
    <col min="10" max="10" width="38.375" style="204" customWidth="1"/>
    <col min="11" max="12" width="11" style="198" customWidth="1"/>
    <col min="13" max="14" width="11" style="198"/>
    <col min="15" max="15" width="11" style="203"/>
    <col min="16" max="16384" width="11" style="198"/>
  </cols>
  <sheetData>
    <row r="1" spans="1:11" x14ac:dyDescent="0.3">
      <c r="J1" s="202">
        <f>Stammdaten!D2</f>
        <v>45003</v>
      </c>
    </row>
    <row r="2" spans="1:11" ht="20.25" x14ac:dyDescent="0.35">
      <c r="B2" s="159" t="str">
        <f>CONCATENATE(Stammdaten!D9," ",Stammdaten!D11)</f>
        <v>99999 Test</v>
      </c>
    </row>
    <row r="3" spans="1:11" ht="25.5" x14ac:dyDescent="0.5">
      <c r="A3" s="14"/>
      <c r="B3" s="158" t="str">
        <f>CONCATENATE(Stammdaten!D6," für Ihre Finanzbuchführung für das Wirtschaftsjahr ",Stammdaten!D4)</f>
        <v>Honorarangebot für Ihre Finanzbuchführung für das Wirtschaftsjahr 2023</v>
      </c>
      <c r="C3" s="158"/>
      <c r="D3" s="158"/>
      <c r="E3" s="158"/>
      <c r="F3" s="15"/>
      <c r="G3" s="177"/>
      <c r="H3" s="177"/>
      <c r="I3" s="177"/>
      <c r="J3" s="16"/>
      <c r="K3" s="14"/>
    </row>
    <row r="4" spans="1:11" ht="25.5" x14ac:dyDescent="0.5">
      <c r="A4" s="14"/>
      <c r="B4" s="157" t="str">
        <f>CONCATENATE(Finanzbuchführung!D13," ",Finanzbuchführung!D15)</f>
        <v xml:space="preserve"> </v>
      </c>
      <c r="C4" s="157"/>
      <c r="D4" s="157"/>
      <c r="E4" s="157"/>
      <c r="F4" s="15"/>
      <c r="G4" s="177"/>
      <c r="H4" s="177"/>
      <c r="I4" s="177"/>
      <c r="J4" s="16"/>
      <c r="K4" s="14"/>
    </row>
    <row r="5" spans="1:11" x14ac:dyDescent="0.3">
      <c r="A5" s="14"/>
      <c r="B5" s="14" t="s">
        <v>186</v>
      </c>
      <c r="C5" s="17"/>
      <c r="D5" s="17"/>
      <c r="E5" s="17"/>
      <c r="F5" s="15"/>
      <c r="G5" s="177"/>
      <c r="H5" s="177"/>
      <c r="I5" s="177"/>
      <c r="J5" s="155">
        <v>200000</v>
      </c>
      <c r="K5" s="14"/>
    </row>
    <row r="6" spans="1:11" collapsed="1" x14ac:dyDescent="0.3">
      <c r="A6" s="14"/>
      <c r="B6" s="14" t="s">
        <v>180</v>
      </c>
      <c r="C6" s="17"/>
      <c r="D6" s="17"/>
      <c r="E6" s="191" t="s">
        <v>185</v>
      </c>
      <c r="F6" s="192" t="s">
        <v>77</v>
      </c>
      <c r="G6" s="177"/>
      <c r="H6" s="177"/>
      <c r="I6" s="177"/>
      <c r="J6" s="155" t="s">
        <v>183</v>
      </c>
      <c r="K6" s="14"/>
    </row>
    <row r="7" spans="1:11" hidden="1" outlineLevel="1" x14ac:dyDescent="0.3">
      <c r="A7" s="14"/>
      <c r="B7" s="14"/>
      <c r="C7" s="17"/>
      <c r="D7" s="17"/>
      <c r="E7" s="183" t="s">
        <v>183</v>
      </c>
      <c r="F7" s="189">
        <v>7.5</v>
      </c>
      <c r="G7" s="177"/>
      <c r="H7" s="177"/>
      <c r="I7" s="177"/>
      <c r="J7" s="177"/>
      <c r="K7" s="14"/>
    </row>
    <row r="8" spans="1:11" hidden="1" outlineLevel="1" x14ac:dyDescent="0.3">
      <c r="A8" s="14"/>
      <c r="B8" s="14"/>
      <c r="C8" s="17"/>
      <c r="D8" s="17"/>
      <c r="E8" s="183" t="s">
        <v>181</v>
      </c>
      <c r="F8" s="189">
        <v>8</v>
      </c>
      <c r="G8" s="177"/>
      <c r="H8" s="177"/>
      <c r="I8" s="177"/>
      <c r="J8" s="177"/>
      <c r="K8" s="14"/>
    </row>
    <row r="9" spans="1:11" hidden="1" outlineLevel="1" x14ac:dyDescent="0.3">
      <c r="A9" s="14"/>
      <c r="B9" s="14"/>
      <c r="C9" s="17"/>
      <c r="D9" s="17"/>
      <c r="E9" s="183" t="s">
        <v>182</v>
      </c>
      <c r="F9" s="189">
        <v>9</v>
      </c>
      <c r="G9" s="177"/>
      <c r="H9" s="177"/>
      <c r="I9" s="177"/>
      <c r="J9" s="177"/>
      <c r="K9" s="14"/>
    </row>
    <row r="10" spans="1:11" hidden="1" outlineLevel="1" x14ac:dyDescent="0.3">
      <c r="A10" s="14"/>
      <c r="B10" s="14"/>
      <c r="C10" s="17"/>
      <c r="D10" s="17"/>
      <c r="E10" s="183" t="s">
        <v>184</v>
      </c>
      <c r="F10" s="189">
        <v>8</v>
      </c>
      <c r="G10" s="177"/>
      <c r="H10" s="177"/>
      <c r="I10" s="177"/>
      <c r="J10" s="177"/>
      <c r="K10" s="14"/>
    </row>
    <row r="11" spans="1:11" hidden="1" outlineLevel="1" x14ac:dyDescent="0.3">
      <c r="A11" s="14"/>
      <c r="B11" s="14"/>
      <c r="C11" s="17"/>
      <c r="D11" s="17"/>
      <c r="E11" s="17"/>
      <c r="F11" s="15"/>
      <c r="G11" s="177"/>
      <c r="H11" s="177"/>
      <c r="I11" s="177"/>
      <c r="J11" s="16"/>
      <c r="K11" s="14"/>
    </row>
    <row r="12" spans="1:11" hidden="1" outlineLevel="1" x14ac:dyDescent="0.3">
      <c r="A12" s="14"/>
      <c r="B12" s="14" t="s">
        <v>5</v>
      </c>
      <c r="C12" s="17"/>
      <c r="D12" s="17"/>
      <c r="E12" s="17"/>
      <c r="F12" s="15"/>
      <c r="G12" s="177"/>
      <c r="H12" s="177"/>
      <c r="I12" s="177"/>
      <c r="J12" s="18">
        <f>MATCH($J$5-1,'Tab C (Fibu)'!$A$4:$A$27,1)</f>
        <v>17</v>
      </c>
      <c r="K12" s="14"/>
    </row>
    <row r="13" spans="1:11" hidden="1" outlineLevel="1" x14ac:dyDescent="0.3">
      <c r="A13" s="14"/>
      <c r="B13" s="14" t="s">
        <v>8</v>
      </c>
      <c r="C13" s="17"/>
      <c r="D13" s="17"/>
      <c r="E13" s="17"/>
      <c r="F13" s="15"/>
      <c r="G13" s="177"/>
      <c r="H13" s="177"/>
      <c r="I13" s="177"/>
      <c r="J13" s="16">
        <f>INDEX('Tab C (Fibu)'!$A$5:$B$27,$J$12,2)</f>
        <v>259</v>
      </c>
      <c r="K13" s="14"/>
    </row>
    <row r="14" spans="1:11" hidden="1" outlineLevel="1" x14ac:dyDescent="0.3">
      <c r="A14" s="14"/>
      <c r="B14" s="14" t="s">
        <v>7</v>
      </c>
      <c r="C14" s="17"/>
      <c r="D14" s="17"/>
      <c r="E14" s="17"/>
      <c r="F14" s="15"/>
      <c r="G14" s="177"/>
      <c r="H14" s="177"/>
      <c r="I14" s="177"/>
      <c r="J14" s="16">
        <f>'Tab C (Fibu)'!$B$27+ROUNDUP(($J$5-'Tab C (Fibu)'!$A$27)/50000,0)*'Tab C (Fibu)'!$B$28</f>
        <v>279</v>
      </c>
      <c r="K14" s="14"/>
    </row>
    <row r="15" spans="1:11" hidden="1" outlineLevel="1" x14ac:dyDescent="0.3">
      <c r="A15" s="14"/>
      <c r="B15" s="14"/>
      <c r="C15" s="17"/>
      <c r="D15" s="17"/>
      <c r="E15" s="17"/>
      <c r="F15" s="15"/>
      <c r="G15" s="177"/>
      <c r="H15" s="177"/>
      <c r="I15" s="177"/>
      <c r="J15" s="16"/>
      <c r="K15" s="14"/>
    </row>
    <row r="16" spans="1:11" hidden="1" outlineLevel="1" x14ac:dyDescent="0.3">
      <c r="A16" s="14"/>
      <c r="B16" s="14" t="s">
        <v>2</v>
      </c>
      <c r="C16" s="17"/>
      <c r="D16" s="17"/>
      <c r="E16" s="17"/>
      <c r="F16" s="15"/>
      <c r="G16" s="177"/>
      <c r="H16" s="177"/>
      <c r="I16" s="177"/>
      <c r="J16" s="16">
        <f>IF($J$5&gt;'Tab C (Fibu)'!$A$27,Finanzbuchführung!$J$14,Finanzbuchführung!$J$13)</f>
        <v>259</v>
      </c>
      <c r="K16" s="14"/>
    </row>
    <row r="17" spans="1:11" hidden="1" outlineLevel="1" x14ac:dyDescent="0.3">
      <c r="A17" s="14"/>
      <c r="B17" s="14" t="s">
        <v>4</v>
      </c>
      <c r="C17" s="17"/>
      <c r="D17" s="17"/>
      <c r="E17" s="17"/>
      <c r="F17" s="15"/>
      <c r="G17" s="177"/>
      <c r="H17" s="177"/>
      <c r="I17" s="177"/>
      <c r="J17" s="295">
        <f>VLOOKUP(J6,E7:F10,2,0)</f>
        <v>7.5</v>
      </c>
      <c r="K17" s="14"/>
    </row>
    <row r="18" spans="1:11" hidden="1" outlineLevel="1" x14ac:dyDescent="0.3">
      <c r="A18" s="14"/>
      <c r="B18" s="14" t="s">
        <v>84</v>
      </c>
      <c r="C18" s="17"/>
      <c r="D18" s="17"/>
      <c r="E18" s="17"/>
      <c r="F18" s="15"/>
      <c r="G18" s="177"/>
      <c r="H18" s="177"/>
      <c r="I18" s="177"/>
      <c r="J18" s="190">
        <v>20</v>
      </c>
      <c r="K18" s="14"/>
    </row>
    <row r="19" spans="1:11" x14ac:dyDescent="0.3">
      <c r="A19" s="14"/>
      <c r="B19" s="14"/>
      <c r="C19" s="17"/>
      <c r="D19" s="17"/>
      <c r="E19" s="17"/>
      <c r="F19" s="15"/>
      <c r="G19" s="177"/>
      <c r="H19" s="177"/>
      <c r="I19" s="177"/>
      <c r="J19" s="16"/>
      <c r="K19" s="14"/>
    </row>
    <row r="20" spans="1:11" x14ac:dyDescent="0.3">
      <c r="A20" s="14"/>
      <c r="B20" s="19" t="s">
        <v>79</v>
      </c>
      <c r="C20" s="17"/>
      <c r="D20" s="17"/>
      <c r="E20" s="201" t="s">
        <v>173</v>
      </c>
      <c r="F20" s="183">
        <v>120</v>
      </c>
      <c r="G20" s="177"/>
      <c r="H20" s="177"/>
      <c r="I20" s="177"/>
      <c r="J20" s="16"/>
      <c r="K20" s="14"/>
    </row>
    <row r="21" spans="1:11" x14ac:dyDescent="0.3">
      <c r="A21" s="14"/>
      <c r="B21" s="14"/>
      <c r="C21" s="17"/>
      <c r="D21" s="17"/>
      <c r="E21" s="17"/>
      <c r="F21" s="15"/>
      <c r="G21" s="177"/>
      <c r="H21" s="177"/>
      <c r="I21" s="177"/>
      <c r="J21" s="16"/>
      <c r="K21" s="14"/>
    </row>
    <row r="22" spans="1:11" x14ac:dyDescent="0.3">
      <c r="A22" s="14"/>
      <c r="B22" s="14" t="s">
        <v>176</v>
      </c>
      <c r="C22" s="17"/>
      <c r="D22" s="17"/>
      <c r="E22" s="17"/>
      <c r="F22" s="192" t="s">
        <v>191</v>
      </c>
      <c r="G22" s="193" t="s">
        <v>194</v>
      </c>
      <c r="H22" s="193" t="s">
        <v>195</v>
      </c>
      <c r="I22" s="193" t="s">
        <v>113</v>
      </c>
      <c r="J22" s="16"/>
      <c r="K22" s="14"/>
    </row>
    <row r="23" spans="1:11" x14ac:dyDescent="0.3">
      <c r="A23" s="14"/>
      <c r="B23" s="14" t="str">
        <f>CONCATENATE(MROUND(J5/F20/12,10)," Buchungszeilen im Monat (+/- 20%)")</f>
        <v>140 Buchungszeilen im Monat (+/- 20%)</v>
      </c>
      <c r="C23" s="33" t="s">
        <v>238</v>
      </c>
      <c r="D23" s="17"/>
      <c r="E23" s="201"/>
      <c r="F23" s="192" t="s">
        <v>192</v>
      </c>
      <c r="G23" s="193" t="s">
        <v>188</v>
      </c>
      <c r="H23" s="193" t="s">
        <v>188</v>
      </c>
      <c r="I23" s="193" t="s">
        <v>112</v>
      </c>
      <c r="K23" s="14"/>
    </row>
    <row r="24" spans="1:11" ht="17.25" x14ac:dyDescent="0.3">
      <c r="A24" s="14"/>
      <c r="B24" s="14" t="s">
        <v>187</v>
      </c>
      <c r="C24" s="310"/>
      <c r="D24" s="311"/>
      <c r="E24" s="17"/>
      <c r="F24" s="184">
        <v>0.4</v>
      </c>
      <c r="G24" s="24">
        <f>J16/(J5/F20/12)</f>
        <v>1.8648</v>
      </c>
      <c r="H24" s="24">
        <f>F24*G24</f>
        <v>0.74592000000000003</v>
      </c>
      <c r="I24" s="186">
        <v>1</v>
      </c>
      <c r="J24" s="204">
        <f>IF(C24=0,0,MROUND((C24*H24),I25))</f>
        <v>0</v>
      </c>
      <c r="K24" s="14"/>
    </row>
    <row r="25" spans="1:11" x14ac:dyDescent="0.3">
      <c r="A25" s="14"/>
      <c r="B25" s="14" t="s">
        <v>115</v>
      </c>
      <c r="C25" s="17"/>
      <c r="D25" s="17"/>
      <c r="E25" s="17"/>
      <c r="F25" s="15"/>
      <c r="G25" s="177"/>
      <c r="H25" s="177"/>
      <c r="I25" s="32">
        <f>IF(C24&gt;0,I24,I24*-1)</f>
        <v>-1</v>
      </c>
      <c r="K25" s="14"/>
    </row>
    <row r="26" spans="1:11" collapsed="1" x14ac:dyDescent="0.3">
      <c r="A26" s="14"/>
      <c r="B26" s="14" t="s">
        <v>239</v>
      </c>
      <c r="C26" s="315"/>
      <c r="D26" s="316"/>
      <c r="E26" s="187"/>
      <c r="F26" s="15"/>
      <c r="G26" s="177"/>
      <c r="H26" s="177"/>
      <c r="I26" s="177"/>
      <c r="J26" s="16">
        <f>IF(C26=0,0,MROUND($D$30*$C$31/10,$C$32))</f>
        <v>0</v>
      </c>
      <c r="K26" s="14"/>
    </row>
    <row r="27" spans="1:11" hidden="1" outlineLevel="1" x14ac:dyDescent="0.3">
      <c r="A27" s="14"/>
      <c r="B27" s="179" t="s">
        <v>5</v>
      </c>
      <c r="C27" s="178"/>
      <c r="D27" s="178" t="e">
        <f>MATCH($C$26-1,'Tab C (Fibu)'!$A$4:$A$27,1)</f>
        <v>#N/A</v>
      </c>
      <c r="E27" s="178"/>
      <c r="F27" s="15"/>
      <c r="G27" s="177"/>
      <c r="H27" s="177"/>
      <c r="I27" s="177"/>
      <c r="J27" s="16"/>
      <c r="K27" s="14"/>
    </row>
    <row r="28" spans="1:11" hidden="1" outlineLevel="1" x14ac:dyDescent="0.3">
      <c r="A28" s="14"/>
      <c r="B28" s="179" t="s">
        <v>8</v>
      </c>
      <c r="C28" s="178"/>
      <c r="D28" s="16" t="e">
        <f>INDEX('Tab C (Fibu)'!$A$5:$B$27,$D$27,2)</f>
        <v>#N/A</v>
      </c>
      <c r="E28" s="16"/>
      <c r="F28" s="15"/>
      <c r="G28" s="177"/>
      <c r="H28" s="177"/>
      <c r="I28" s="177"/>
      <c r="J28" s="16"/>
      <c r="K28" s="14"/>
    </row>
    <row r="29" spans="1:11" hidden="1" outlineLevel="1" x14ac:dyDescent="0.3">
      <c r="A29" s="14"/>
      <c r="B29" s="179" t="s">
        <v>7</v>
      </c>
      <c r="C29" s="178"/>
      <c r="D29" s="16">
        <f>'Tab C (Fibu)'!$B$27+ROUNDUP(($C$26-'Tab C (Fibu)'!$A$27)/50000,0)*'Tab C (Fibu)'!$B$28</f>
        <v>143</v>
      </c>
      <c r="E29" s="16"/>
      <c r="F29" s="15"/>
      <c r="G29" s="177"/>
      <c r="H29" s="177"/>
      <c r="I29" s="177"/>
      <c r="J29" s="16"/>
      <c r="K29" s="14"/>
    </row>
    <row r="30" spans="1:11" hidden="1" outlineLevel="1" x14ac:dyDescent="0.3">
      <c r="A30" s="14"/>
      <c r="B30" s="179" t="s">
        <v>2</v>
      </c>
      <c r="C30" s="178"/>
      <c r="D30" s="16" t="e">
        <f>IF(C26&gt;'Tab C (Fibu)'!$A$27,D29,D28)</f>
        <v>#N/A</v>
      </c>
      <c r="E30" s="16"/>
      <c r="F30" s="15"/>
      <c r="G30" s="177"/>
      <c r="H30" s="177"/>
      <c r="I30" s="177"/>
      <c r="J30" s="16"/>
      <c r="K30" s="14"/>
    </row>
    <row r="31" spans="1:11" hidden="1" outlineLevel="1" x14ac:dyDescent="0.3">
      <c r="A31" s="14"/>
      <c r="B31" s="179" t="s">
        <v>166</v>
      </c>
      <c r="C31" s="317">
        <v>1.5</v>
      </c>
      <c r="D31" s="318"/>
      <c r="E31" s="188"/>
      <c r="F31" s="15"/>
      <c r="G31" s="177"/>
      <c r="H31" s="177"/>
      <c r="I31" s="177"/>
      <c r="J31" s="16"/>
      <c r="K31" s="14"/>
    </row>
    <row r="32" spans="1:11" hidden="1" outlineLevel="1" x14ac:dyDescent="0.3">
      <c r="A32" s="14"/>
      <c r="B32" s="179" t="s">
        <v>113</v>
      </c>
      <c r="C32" s="319">
        <v>1</v>
      </c>
      <c r="D32" s="320"/>
      <c r="E32" s="180"/>
      <c r="F32" s="15"/>
      <c r="G32" s="177"/>
      <c r="H32" s="177"/>
      <c r="I32" s="177"/>
      <c r="J32" s="16"/>
      <c r="K32" s="14"/>
    </row>
    <row r="33" spans="1:15" hidden="1" outlineLevel="1" x14ac:dyDescent="0.3">
      <c r="A33" s="14"/>
      <c r="B33" s="179" t="s">
        <v>193</v>
      </c>
      <c r="C33" s="314">
        <f>J16*J17/10+J18</f>
        <v>214.25</v>
      </c>
      <c r="D33" s="314"/>
      <c r="E33" s="180"/>
      <c r="F33" s="15"/>
      <c r="G33" s="177"/>
      <c r="H33" s="177"/>
      <c r="I33" s="177"/>
      <c r="J33" s="16"/>
      <c r="K33" s="14"/>
    </row>
    <row r="34" spans="1:15" x14ac:dyDescent="0.3">
      <c r="A34" s="14"/>
      <c r="B34" s="14" t="s">
        <v>240</v>
      </c>
      <c r="C34" s="17"/>
      <c r="D34" s="17"/>
      <c r="E34" s="17"/>
      <c r="F34" s="15"/>
      <c r="G34" s="177"/>
      <c r="H34" s="177"/>
      <c r="I34" s="177"/>
      <c r="J34" s="16"/>
      <c r="K34" s="14"/>
    </row>
    <row r="35" spans="1:15" x14ac:dyDescent="0.3">
      <c r="A35" s="14"/>
      <c r="B35" s="14" t="s">
        <v>116</v>
      </c>
      <c r="C35" s="17"/>
      <c r="D35" s="17"/>
      <c r="E35" s="17"/>
      <c r="F35" s="15"/>
      <c r="G35" s="177"/>
      <c r="H35" s="177"/>
      <c r="I35" s="177"/>
      <c r="J35" s="16"/>
      <c r="K35" s="14"/>
    </row>
    <row r="36" spans="1:15" x14ac:dyDescent="0.3">
      <c r="A36" s="14"/>
      <c r="B36" s="14" t="s">
        <v>117</v>
      </c>
      <c r="C36" s="17"/>
      <c r="D36" s="17"/>
      <c r="E36" s="17"/>
      <c r="F36" s="15"/>
      <c r="G36" s="177"/>
      <c r="H36" s="177"/>
      <c r="I36" s="177"/>
      <c r="J36" s="16"/>
      <c r="K36" s="14"/>
    </row>
    <row r="37" spans="1:15" x14ac:dyDescent="0.3">
      <c r="A37" s="14"/>
      <c r="B37" s="14" t="s">
        <v>118</v>
      </c>
      <c r="C37" s="17"/>
      <c r="D37" s="17"/>
      <c r="E37" s="17"/>
      <c r="F37" s="15"/>
      <c r="G37" s="177"/>
      <c r="H37" s="177"/>
      <c r="I37" s="177"/>
      <c r="J37" s="16"/>
      <c r="K37" s="14"/>
    </row>
    <row r="38" spans="1:15" x14ac:dyDescent="0.3">
      <c r="A38" s="14"/>
      <c r="B38" s="14" t="s">
        <v>119</v>
      </c>
      <c r="C38" s="17"/>
      <c r="D38" s="17"/>
      <c r="E38" s="17"/>
      <c r="F38" s="15"/>
      <c r="G38" s="177"/>
      <c r="H38" s="177"/>
      <c r="I38" s="177"/>
      <c r="J38" s="16"/>
      <c r="K38" s="14"/>
    </row>
    <row r="39" spans="1:15" x14ac:dyDescent="0.3">
      <c r="A39" s="14"/>
      <c r="B39" s="14" t="s">
        <v>120</v>
      </c>
      <c r="C39" s="17"/>
      <c r="D39" s="17"/>
      <c r="E39" s="17"/>
      <c r="F39" s="15"/>
      <c r="G39" s="177"/>
      <c r="H39" s="177"/>
      <c r="I39" s="177"/>
      <c r="J39" s="16"/>
      <c r="K39" s="14"/>
    </row>
    <row r="40" spans="1:15" x14ac:dyDescent="0.3">
      <c r="A40" s="14"/>
      <c r="B40" s="14" t="s">
        <v>197</v>
      </c>
      <c r="C40" s="17"/>
      <c r="D40" s="17"/>
      <c r="E40" s="17"/>
      <c r="F40" s="15"/>
      <c r="G40" s="177"/>
      <c r="H40" s="177"/>
      <c r="I40" s="177"/>
      <c r="J40" s="16"/>
      <c r="K40" s="14"/>
    </row>
    <row r="41" spans="1:15" x14ac:dyDescent="0.3">
      <c r="A41" s="14"/>
      <c r="B41" s="14" t="s">
        <v>19</v>
      </c>
      <c r="C41" s="17"/>
      <c r="D41" s="17"/>
      <c r="E41" s="17"/>
      <c r="F41" s="192" t="s">
        <v>191</v>
      </c>
      <c r="G41" s="193" t="s">
        <v>194</v>
      </c>
      <c r="H41" s="193" t="s">
        <v>195</v>
      </c>
      <c r="I41" s="193" t="s">
        <v>113</v>
      </c>
      <c r="J41" s="16"/>
      <c r="K41" s="14"/>
    </row>
    <row r="42" spans="1:15" x14ac:dyDescent="0.3">
      <c r="A42" s="14"/>
      <c r="B42" s="14"/>
      <c r="C42" s="17"/>
      <c r="D42" s="17"/>
      <c r="E42" s="17"/>
      <c r="F42" s="15"/>
      <c r="G42" s="177"/>
      <c r="H42" s="177"/>
      <c r="I42" s="177"/>
      <c r="J42" s="16"/>
      <c r="K42" s="14"/>
    </row>
    <row r="43" spans="1:15" s="205" customFormat="1" ht="17.25" x14ac:dyDescent="0.3">
      <c r="A43" s="20"/>
      <c r="B43" s="20" t="s">
        <v>3</v>
      </c>
      <c r="C43" s="21"/>
      <c r="D43" s="21"/>
      <c r="E43" s="21"/>
      <c r="F43" s="22"/>
      <c r="G43" s="23"/>
      <c r="H43" s="23"/>
      <c r="I43" s="23"/>
      <c r="J43" s="24">
        <f>IF(J5&gt;0,J17*J16/10+J18+J24+J26,0)</f>
        <v>214.25</v>
      </c>
      <c r="K43" s="20"/>
      <c r="O43" s="206"/>
    </row>
    <row r="44" spans="1:15" x14ac:dyDescent="0.3">
      <c r="A44" s="14"/>
      <c r="B44" s="25"/>
      <c r="C44" s="26"/>
      <c r="D44" s="26"/>
      <c r="E44" s="26"/>
      <c r="F44" s="27"/>
      <c r="G44" s="28"/>
      <c r="H44" s="28"/>
      <c r="I44" s="28"/>
      <c r="J44" s="29"/>
      <c r="K44" s="14"/>
    </row>
    <row r="45" spans="1:15" ht="20.25" x14ac:dyDescent="0.35">
      <c r="A45" s="14"/>
      <c r="B45" s="30" t="s">
        <v>31</v>
      </c>
      <c r="C45" s="17"/>
      <c r="D45" s="17"/>
      <c r="E45" s="191" t="s">
        <v>168</v>
      </c>
      <c r="F45" s="192" t="s">
        <v>167</v>
      </c>
      <c r="G45" s="193" t="s">
        <v>189</v>
      </c>
      <c r="H45" s="194" t="s">
        <v>190</v>
      </c>
      <c r="I45" s="194" t="s">
        <v>113</v>
      </c>
      <c r="J45" s="16"/>
      <c r="K45" s="14"/>
    </row>
    <row r="46" spans="1:15" x14ac:dyDescent="0.3">
      <c r="A46" s="14"/>
      <c r="B46" s="14"/>
      <c r="C46" s="17"/>
      <c r="D46" s="17"/>
      <c r="E46" s="195"/>
      <c r="F46" s="192"/>
      <c r="G46" s="193" t="s">
        <v>97</v>
      </c>
      <c r="H46" s="196"/>
      <c r="I46" s="193" t="s">
        <v>112</v>
      </c>
      <c r="J46" s="16"/>
      <c r="K46" s="14"/>
    </row>
    <row r="47" spans="1:15" collapsed="1" x14ac:dyDescent="0.3">
      <c r="A47" s="14"/>
      <c r="B47" s="14" t="s">
        <v>9</v>
      </c>
      <c r="C47" s="312" t="s">
        <v>196</v>
      </c>
      <c r="D47" s="312"/>
      <c r="E47" s="198"/>
      <c r="F47" s="207">
        <f>VLOOKUP(C47,E48:H51,2,0)</f>
        <v>0</v>
      </c>
      <c r="G47" s="208">
        <f>VLOOKUP(C47,E48:H51,3,0)</f>
        <v>0</v>
      </c>
      <c r="H47" s="209">
        <f>VLOOKUP(C47,E48:H51,4,0)</f>
        <v>0</v>
      </c>
      <c r="I47" s="186">
        <v>1</v>
      </c>
      <c r="J47" s="16" t="str">
        <f>IF(C47&lt;&gt;"monatlich oder quartalsweise",MROUND(F47+J$43*G47+J$16*0.1*H47,I47),"--")</f>
        <v>--</v>
      </c>
      <c r="K47" s="14"/>
    </row>
    <row r="48" spans="1:15" hidden="1" outlineLevel="1" x14ac:dyDescent="0.3">
      <c r="A48" s="14"/>
      <c r="B48" s="181"/>
      <c r="C48" s="210"/>
      <c r="D48" s="210"/>
      <c r="E48" s="182" t="s">
        <v>196</v>
      </c>
      <c r="F48" s="183"/>
      <c r="G48" s="184"/>
      <c r="H48" s="185"/>
      <c r="I48" s="32"/>
      <c r="J48" s="16"/>
      <c r="K48" s="14"/>
    </row>
    <row r="49" spans="1:11" hidden="1" outlineLevel="1" x14ac:dyDescent="0.3">
      <c r="A49" s="14"/>
      <c r="B49" s="14"/>
      <c r="C49" s="17"/>
      <c r="D49" s="198"/>
      <c r="E49" s="182" t="s">
        <v>22</v>
      </c>
      <c r="F49" s="183"/>
      <c r="G49" s="184">
        <v>0.1</v>
      </c>
      <c r="H49" s="185"/>
      <c r="I49" s="198"/>
      <c r="J49" s="16"/>
      <c r="K49" s="14"/>
    </row>
    <row r="50" spans="1:11" hidden="1" outlineLevel="1" x14ac:dyDescent="0.3">
      <c r="A50" s="14"/>
      <c r="B50" s="14"/>
      <c r="C50" s="17"/>
      <c r="D50" s="198"/>
      <c r="E50" s="182" t="s">
        <v>23</v>
      </c>
      <c r="F50" s="183"/>
      <c r="G50" s="184">
        <v>0.15</v>
      </c>
      <c r="H50" s="185"/>
      <c r="I50" s="198"/>
      <c r="J50" s="16"/>
      <c r="K50" s="14"/>
    </row>
    <row r="51" spans="1:11" hidden="1" outlineLevel="1" x14ac:dyDescent="0.3">
      <c r="A51" s="14"/>
      <c r="B51" s="14"/>
      <c r="C51" s="17"/>
      <c r="D51" s="198"/>
      <c r="E51" s="182" t="s">
        <v>24</v>
      </c>
      <c r="F51" s="183"/>
      <c r="G51" s="184">
        <v>0.3</v>
      </c>
      <c r="H51" s="185"/>
      <c r="I51" s="198"/>
      <c r="J51" s="16"/>
      <c r="K51" s="14"/>
    </row>
    <row r="52" spans="1:11" x14ac:dyDescent="0.3">
      <c r="A52" s="14"/>
      <c r="B52" s="14"/>
      <c r="C52" s="17"/>
      <c r="D52" s="198"/>
      <c r="E52" s="198"/>
      <c r="F52" s="198"/>
      <c r="G52" s="198"/>
      <c r="H52" s="198"/>
      <c r="I52" s="198"/>
      <c r="J52" s="16"/>
      <c r="K52" s="14"/>
    </row>
    <row r="53" spans="1:11" x14ac:dyDescent="0.3">
      <c r="A53" s="14"/>
      <c r="B53" s="14" t="s">
        <v>241</v>
      </c>
      <c r="C53" s="156" t="s">
        <v>223</v>
      </c>
      <c r="D53" s="17"/>
      <c r="E53" s="17"/>
      <c r="F53" s="183">
        <v>15</v>
      </c>
      <c r="G53" s="184"/>
      <c r="H53" s="185"/>
      <c r="I53" s="186">
        <v>1</v>
      </c>
      <c r="J53" s="16">
        <f>IF(C53="x",MROUND(J$43*G53+F53+J$16*0.1*H53,I53),"--")</f>
        <v>15</v>
      </c>
      <c r="K53" s="14"/>
    </row>
    <row r="54" spans="1:11" x14ac:dyDescent="0.3">
      <c r="A54" s="14"/>
      <c r="B54" s="299" t="s">
        <v>178</v>
      </c>
      <c r="C54" s="17"/>
      <c r="D54" s="17"/>
      <c r="E54" s="17"/>
      <c r="F54" s="17"/>
      <c r="G54" s="17"/>
      <c r="H54" s="17"/>
      <c r="I54" s="17"/>
      <c r="J54" s="155"/>
      <c r="K54" s="14"/>
    </row>
    <row r="55" spans="1:11" x14ac:dyDescent="0.3">
      <c r="A55" s="14"/>
      <c r="B55" s="14"/>
      <c r="C55" s="17"/>
      <c r="D55" s="17"/>
      <c r="E55" s="17"/>
      <c r="F55" s="15"/>
      <c r="G55" s="177"/>
      <c r="H55" s="31"/>
      <c r="I55" s="32"/>
      <c r="J55" s="16"/>
      <c r="K55" s="14"/>
    </row>
    <row r="56" spans="1:11" x14ac:dyDescent="0.3">
      <c r="A56" s="14"/>
      <c r="B56" s="14" t="s">
        <v>18</v>
      </c>
      <c r="C56" s="156"/>
      <c r="D56" s="17"/>
      <c r="E56" s="17"/>
      <c r="F56" s="183">
        <v>42.5</v>
      </c>
      <c r="G56" s="184"/>
      <c r="H56" s="185"/>
      <c r="I56" s="186">
        <v>1</v>
      </c>
      <c r="J56" s="16" t="str">
        <f>IF(C56="x",MROUND(J$43*G56+F56+J$16*0.1*H56,I56),"--")</f>
        <v>--</v>
      </c>
      <c r="K56" s="14"/>
    </row>
    <row r="57" spans="1:11" x14ac:dyDescent="0.3">
      <c r="A57" s="14"/>
      <c r="B57" s="14"/>
      <c r="C57" s="17"/>
      <c r="D57" s="17"/>
      <c r="E57" s="17"/>
      <c r="F57" s="15"/>
      <c r="G57" s="177"/>
      <c r="H57" s="31"/>
      <c r="I57" s="32"/>
      <c r="J57" s="16"/>
      <c r="K57" s="14"/>
    </row>
    <row r="58" spans="1:11" x14ac:dyDescent="0.3">
      <c r="A58" s="14"/>
      <c r="B58" s="14" t="s">
        <v>242</v>
      </c>
      <c r="C58" s="156"/>
      <c r="D58" s="17"/>
      <c r="E58" s="17"/>
      <c r="F58" s="183">
        <v>40</v>
      </c>
      <c r="G58" s="184"/>
      <c r="H58" s="185"/>
      <c r="I58" s="186">
        <v>1</v>
      </c>
      <c r="J58" s="16" t="str">
        <f>IF(C58="x",MROUND(J$43*G58+F58+J$16*0.1*H58,I58),"--")</f>
        <v>--</v>
      </c>
      <c r="K58" s="14"/>
    </row>
    <row r="59" spans="1:11" x14ac:dyDescent="0.3">
      <c r="A59" s="14"/>
      <c r="B59" s="14"/>
      <c r="C59" s="17"/>
      <c r="D59" s="17"/>
      <c r="E59" s="17"/>
      <c r="F59" s="15"/>
      <c r="G59" s="177"/>
      <c r="H59" s="31"/>
      <c r="I59" s="32"/>
      <c r="J59" s="16"/>
      <c r="K59" s="14"/>
    </row>
    <row r="60" spans="1:11" x14ac:dyDescent="0.3">
      <c r="A60" s="14"/>
      <c r="B60" s="14" t="s">
        <v>10</v>
      </c>
      <c r="C60" s="156"/>
      <c r="D60" s="17"/>
      <c r="E60" s="17"/>
      <c r="F60" s="183"/>
      <c r="G60" s="184"/>
      <c r="H60" s="185">
        <v>2</v>
      </c>
      <c r="I60" s="186">
        <v>1</v>
      </c>
      <c r="J60" s="16" t="str">
        <f>IF(C60="x",MROUND(J$43*G60+F60+J$16*0.1*H60,I60),"--")</f>
        <v>--</v>
      </c>
      <c r="K60" s="14"/>
    </row>
    <row r="61" spans="1:11" x14ac:dyDescent="0.3">
      <c r="A61" s="14"/>
      <c r="B61" s="14"/>
      <c r="C61" s="17"/>
      <c r="D61" s="17"/>
      <c r="E61" s="17"/>
      <c r="F61" s="15"/>
      <c r="G61" s="177"/>
      <c r="H61" s="31"/>
      <c r="I61" s="32"/>
      <c r="J61" s="16"/>
      <c r="K61" s="14"/>
    </row>
    <row r="62" spans="1:11" x14ac:dyDescent="0.3">
      <c r="A62" s="14"/>
      <c r="B62" s="14" t="s">
        <v>11</v>
      </c>
      <c r="C62" s="156"/>
      <c r="D62" s="17"/>
      <c r="E62" s="17"/>
      <c r="F62" s="183"/>
      <c r="G62" s="184">
        <v>0.15</v>
      </c>
      <c r="H62" s="185"/>
      <c r="I62" s="186">
        <v>1</v>
      </c>
      <c r="J62" s="16" t="str">
        <f>IF(C62="x",MROUND(J$43*G62+F62+J$16*0.1*H62,I62),"--")</f>
        <v>--</v>
      </c>
      <c r="K62" s="14"/>
    </row>
    <row r="63" spans="1:11" x14ac:dyDescent="0.3">
      <c r="A63" s="14"/>
      <c r="B63" s="14"/>
      <c r="C63" s="17"/>
      <c r="D63" s="17"/>
      <c r="E63" s="17"/>
      <c r="F63" s="15"/>
      <c r="G63" s="177"/>
      <c r="H63" s="31"/>
      <c r="I63" s="32"/>
      <c r="J63" s="16"/>
      <c r="K63" s="14"/>
    </row>
    <row r="64" spans="1:11" x14ac:dyDescent="0.3">
      <c r="A64" s="14"/>
      <c r="B64" s="14" t="s">
        <v>243</v>
      </c>
      <c r="C64" s="156"/>
      <c r="D64" s="17"/>
      <c r="E64" s="17"/>
      <c r="F64" s="183">
        <v>10</v>
      </c>
      <c r="G64" s="184"/>
      <c r="H64" s="185"/>
      <c r="I64" s="186">
        <v>1</v>
      </c>
      <c r="J64" s="16" t="str">
        <f>IF(C64="x",MROUND(J$43*G64+F64+J$16*0.1*H64,I64),"--")</f>
        <v>--</v>
      </c>
      <c r="K64" s="14"/>
    </row>
    <row r="65" spans="1:11" x14ac:dyDescent="0.3">
      <c r="A65" s="14"/>
      <c r="B65" s="14"/>
      <c r="C65" s="17"/>
      <c r="D65" s="17"/>
      <c r="E65" s="17"/>
      <c r="F65" s="15"/>
      <c r="G65" s="177"/>
      <c r="H65" s="31"/>
      <c r="I65" s="32"/>
      <c r="J65" s="16"/>
      <c r="K65" s="14"/>
    </row>
    <row r="66" spans="1:11" x14ac:dyDescent="0.3">
      <c r="A66" s="14"/>
      <c r="B66" s="14" t="s">
        <v>244</v>
      </c>
      <c r="C66" s="156"/>
      <c r="D66" s="17"/>
      <c r="E66" s="17"/>
      <c r="F66" s="183">
        <v>40</v>
      </c>
      <c r="G66" s="184"/>
      <c r="H66" s="185"/>
      <c r="I66" s="186">
        <v>1</v>
      </c>
      <c r="J66" s="16" t="str">
        <f>IF(C66="x",MROUND(J$43*G66+F66+J$16*0.1*H66,I66),"--")</f>
        <v>--</v>
      </c>
      <c r="K66" s="14"/>
    </row>
    <row r="67" spans="1:11" hidden="1" x14ac:dyDescent="0.3">
      <c r="A67" s="14"/>
      <c r="B67" s="14"/>
      <c r="C67" s="17"/>
      <c r="D67" s="17"/>
      <c r="E67" s="17"/>
      <c r="F67" s="15"/>
      <c r="G67" s="177"/>
      <c r="H67" s="31"/>
      <c r="I67" s="32"/>
      <c r="J67" s="16"/>
      <c r="K67" s="14"/>
    </row>
    <row r="68" spans="1:11" hidden="1" collapsed="1" x14ac:dyDescent="0.3">
      <c r="A68" s="14"/>
      <c r="B68" s="14" t="s">
        <v>12</v>
      </c>
      <c r="C68" s="312" t="s">
        <v>28</v>
      </c>
      <c r="D68" s="312"/>
      <c r="E68" s="210"/>
      <c r="F68" s="167">
        <f>VLOOKUP(C68,E69:H73,2,0)</f>
        <v>0</v>
      </c>
      <c r="G68" s="177">
        <f>VLOOKUP(C68,E69:H73,3,0)</f>
        <v>0</v>
      </c>
      <c r="H68" s="31">
        <f>VLOOKUP(C68,E69:H73,4,0)</f>
        <v>0</v>
      </c>
      <c r="I68" s="186">
        <v>1</v>
      </c>
      <c r="J68" s="16" t="str">
        <f>IF(C68&lt;&gt;"nicht gebucht",MROUND(J$43*G68+F68+J$16*0.1*H68,I68),"--")</f>
        <v>--</v>
      </c>
      <c r="K68" s="14"/>
    </row>
    <row r="69" spans="1:11" hidden="1" outlineLevel="1" x14ac:dyDescent="0.3">
      <c r="A69" s="14"/>
      <c r="B69" s="14"/>
      <c r="C69" s="33"/>
      <c r="D69" s="33"/>
      <c r="E69" s="182" t="s">
        <v>28</v>
      </c>
      <c r="F69" s="183"/>
      <c r="G69" s="184"/>
      <c r="H69" s="185"/>
      <c r="I69" s="32"/>
      <c r="J69" s="16"/>
      <c r="K69" s="14"/>
    </row>
    <row r="70" spans="1:11" hidden="1" outlineLevel="1" x14ac:dyDescent="0.3">
      <c r="A70" s="14"/>
      <c r="B70" s="14"/>
      <c r="C70" s="33"/>
      <c r="D70" s="33"/>
      <c r="E70" s="182" t="s">
        <v>21</v>
      </c>
      <c r="F70" s="183">
        <v>30</v>
      </c>
      <c r="G70" s="184"/>
      <c r="H70" s="185"/>
      <c r="I70" s="32"/>
      <c r="J70" s="16"/>
      <c r="K70" s="14"/>
    </row>
    <row r="71" spans="1:11" hidden="1" outlineLevel="1" x14ac:dyDescent="0.3">
      <c r="A71" s="14"/>
      <c r="B71" s="14"/>
      <c r="C71" s="33"/>
      <c r="D71" s="33"/>
      <c r="E71" s="182" t="s">
        <v>22</v>
      </c>
      <c r="F71" s="183">
        <v>60</v>
      </c>
      <c r="G71" s="184"/>
      <c r="H71" s="185"/>
      <c r="I71" s="32"/>
      <c r="J71" s="16"/>
      <c r="K71" s="14"/>
    </row>
    <row r="72" spans="1:11" hidden="1" outlineLevel="1" x14ac:dyDescent="0.3">
      <c r="A72" s="14"/>
      <c r="B72" s="14"/>
      <c r="C72" s="33"/>
      <c r="D72" s="33"/>
      <c r="E72" s="182" t="s">
        <v>23</v>
      </c>
      <c r="F72" s="183">
        <v>120</v>
      </c>
      <c r="G72" s="184"/>
      <c r="H72" s="185"/>
      <c r="I72" s="32"/>
      <c r="J72" s="16"/>
      <c r="K72" s="14"/>
    </row>
    <row r="73" spans="1:11" hidden="1" outlineLevel="1" x14ac:dyDescent="0.3">
      <c r="A73" s="14"/>
      <c r="B73" s="14"/>
      <c r="C73" s="33"/>
      <c r="D73" s="33"/>
      <c r="E73" s="182" t="s">
        <v>24</v>
      </c>
      <c r="F73" s="183">
        <v>240</v>
      </c>
      <c r="G73" s="184"/>
      <c r="H73" s="185"/>
      <c r="I73" s="32"/>
      <c r="J73" s="16"/>
      <c r="K73" s="14"/>
    </row>
    <row r="74" spans="1:11" x14ac:dyDescent="0.3">
      <c r="A74" s="14"/>
      <c r="B74" s="14"/>
      <c r="C74" s="33"/>
      <c r="D74" s="33"/>
      <c r="E74" s="33"/>
      <c r="F74" s="15"/>
      <c r="G74" s="177"/>
      <c r="H74" s="31"/>
      <c r="I74" s="32"/>
      <c r="J74" s="16"/>
      <c r="K74" s="14"/>
    </row>
    <row r="75" spans="1:11" hidden="1" collapsed="1" x14ac:dyDescent="0.3">
      <c r="A75" s="14"/>
      <c r="B75" s="14" t="s">
        <v>13</v>
      </c>
      <c r="C75" s="312" t="s">
        <v>28</v>
      </c>
      <c r="D75" s="312"/>
      <c r="E75" s="210"/>
      <c r="F75" s="167">
        <f>VLOOKUP(C75,E76:H79,2,0)</f>
        <v>0</v>
      </c>
      <c r="G75" s="177">
        <f>VLOOKUP(C75,E76:H79,3,0)</f>
        <v>0</v>
      </c>
      <c r="H75" s="31">
        <f>VLOOKUP(C75,E76:H79,4,0)</f>
        <v>0</v>
      </c>
      <c r="I75" s="186">
        <v>1</v>
      </c>
      <c r="J75" s="16" t="str">
        <f>IF(C75&lt;&gt;"nicht gebucht",MROUND(J$43*G75+F75+J$16*0.1*H75,I75),"--")</f>
        <v>--</v>
      </c>
      <c r="K75" s="14"/>
    </row>
    <row r="76" spans="1:11" hidden="1" outlineLevel="1" x14ac:dyDescent="0.3">
      <c r="A76" s="14"/>
      <c r="B76" s="14"/>
      <c r="C76" s="33"/>
      <c r="D76" s="33"/>
      <c r="E76" s="182" t="s">
        <v>28</v>
      </c>
      <c r="F76" s="183"/>
      <c r="G76" s="184"/>
      <c r="H76" s="185"/>
      <c r="I76" s="32"/>
      <c r="J76" s="16"/>
      <c r="K76" s="14"/>
    </row>
    <row r="77" spans="1:11" hidden="1" outlineLevel="1" x14ac:dyDescent="0.3">
      <c r="A77" s="14"/>
      <c r="B77" s="14"/>
      <c r="C77" s="33"/>
      <c r="D77" s="33"/>
      <c r="E77" s="182" t="s">
        <v>21</v>
      </c>
      <c r="F77" s="183">
        <v>15</v>
      </c>
      <c r="G77" s="184"/>
      <c r="H77" s="185"/>
      <c r="I77" s="32"/>
      <c r="J77" s="16"/>
      <c r="K77" s="14"/>
    </row>
    <row r="78" spans="1:11" hidden="1" outlineLevel="1" x14ac:dyDescent="0.3">
      <c r="A78" s="14"/>
      <c r="B78" s="14"/>
      <c r="C78" s="33"/>
      <c r="D78" s="33"/>
      <c r="E78" s="182" t="s">
        <v>22</v>
      </c>
      <c r="F78" s="183">
        <v>30</v>
      </c>
      <c r="G78" s="184"/>
      <c r="H78" s="185"/>
      <c r="I78" s="32"/>
      <c r="J78" s="16"/>
      <c r="K78" s="14"/>
    </row>
    <row r="79" spans="1:11" hidden="1" outlineLevel="1" x14ac:dyDescent="0.3">
      <c r="A79" s="14"/>
      <c r="B79" s="14"/>
      <c r="C79" s="33"/>
      <c r="D79" s="33"/>
      <c r="E79" s="182" t="s">
        <v>23</v>
      </c>
      <c r="F79" s="183">
        <v>45</v>
      </c>
      <c r="G79" s="184"/>
      <c r="H79" s="185"/>
      <c r="I79" s="32"/>
      <c r="J79" s="16"/>
      <c r="K79" s="14"/>
    </row>
    <row r="80" spans="1:11" hidden="1" x14ac:dyDescent="0.3">
      <c r="A80" s="14"/>
      <c r="B80" s="14"/>
      <c r="C80" s="33"/>
      <c r="D80" s="33"/>
      <c r="E80" s="33"/>
      <c r="F80" s="15"/>
      <c r="G80" s="177"/>
      <c r="H80" s="31"/>
      <c r="I80" s="32"/>
      <c r="J80" s="16"/>
      <c r="K80" s="14"/>
    </row>
    <row r="81" spans="1:11" collapsed="1" x14ac:dyDescent="0.3">
      <c r="A81" s="14"/>
      <c r="B81" s="14" t="s">
        <v>14</v>
      </c>
      <c r="C81" s="313" t="s">
        <v>28</v>
      </c>
      <c r="D81" s="313"/>
      <c r="E81" s="211"/>
      <c r="F81" s="167">
        <f>VLOOKUP(C81,E82:H84,2,0)</f>
        <v>0</v>
      </c>
      <c r="G81" s="177">
        <f>VLOOKUP(C81,E82:H84,3,0)</f>
        <v>0</v>
      </c>
      <c r="H81" s="31">
        <f>VLOOKUP(C81,E82:H84,4,0)</f>
        <v>0</v>
      </c>
      <c r="I81" s="186">
        <v>1</v>
      </c>
      <c r="J81" s="16" t="str">
        <f>IF(C81&lt;&gt;"nicht gebucht",MROUND(J$43*G81+F81+J$16*0.1*H81,I81),"--")</f>
        <v>--</v>
      </c>
      <c r="K81" s="14"/>
    </row>
    <row r="82" spans="1:11" hidden="1" outlineLevel="1" x14ac:dyDescent="0.3">
      <c r="A82" s="14"/>
      <c r="B82" s="14"/>
      <c r="C82" s="33"/>
      <c r="D82" s="33"/>
      <c r="E82" s="182" t="s">
        <v>28</v>
      </c>
      <c r="F82" s="183"/>
      <c r="G82" s="184"/>
      <c r="H82" s="185"/>
      <c r="I82" s="32"/>
      <c r="J82" s="16"/>
      <c r="K82" s="14"/>
    </row>
    <row r="83" spans="1:11" hidden="1" outlineLevel="1" x14ac:dyDescent="0.3">
      <c r="A83" s="14"/>
      <c r="B83" s="14"/>
      <c r="C83" s="33"/>
      <c r="D83" s="33"/>
      <c r="E83" s="182" t="s">
        <v>25</v>
      </c>
      <c r="F83" s="183"/>
      <c r="G83" s="184">
        <v>0.15</v>
      </c>
      <c r="H83" s="185"/>
      <c r="I83" s="32"/>
      <c r="J83" s="16"/>
      <c r="K83" s="14"/>
    </row>
    <row r="84" spans="1:11" hidden="1" outlineLevel="1" x14ac:dyDescent="0.3">
      <c r="A84" s="14"/>
      <c r="B84" s="14"/>
      <c r="C84" s="33"/>
      <c r="D84" s="33"/>
      <c r="E84" s="182" t="s">
        <v>26</v>
      </c>
      <c r="F84" s="183"/>
      <c r="G84" s="184">
        <v>0.2</v>
      </c>
      <c r="H84" s="185"/>
      <c r="I84" s="32"/>
      <c r="J84" s="16"/>
      <c r="K84" s="14"/>
    </row>
    <row r="85" spans="1:11" x14ac:dyDescent="0.3">
      <c r="A85" s="14"/>
      <c r="B85" s="14"/>
      <c r="C85" s="33"/>
      <c r="D85" s="33"/>
      <c r="E85" s="33"/>
      <c r="F85" s="15"/>
      <c r="G85" s="177"/>
      <c r="H85" s="31"/>
      <c r="I85" s="32"/>
      <c r="J85" s="16"/>
      <c r="K85" s="14"/>
    </row>
    <row r="86" spans="1:11" x14ac:dyDescent="0.3">
      <c r="A86" s="14"/>
      <c r="B86" s="14" t="s">
        <v>15</v>
      </c>
      <c r="C86" s="312" t="s">
        <v>27</v>
      </c>
      <c r="D86" s="312"/>
      <c r="E86" s="210"/>
      <c r="F86" s="183">
        <v>5</v>
      </c>
      <c r="G86" s="197" t="s">
        <v>171</v>
      </c>
      <c r="H86" s="31"/>
      <c r="I86" s="32"/>
      <c r="J86" s="16" t="str">
        <f>IF(C86="Überweisung",F86,"--")</f>
        <v>--</v>
      </c>
      <c r="K86" s="14"/>
    </row>
    <row r="87" spans="1:11" x14ac:dyDescent="0.3">
      <c r="A87" s="14"/>
      <c r="B87" s="14"/>
      <c r="C87" s="17"/>
      <c r="D87" s="17"/>
      <c r="E87" s="17"/>
      <c r="F87" s="15"/>
      <c r="G87" s="177"/>
      <c r="H87" s="31"/>
      <c r="I87" s="32"/>
      <c r="J87" s="16"/>
      <c r="K87" s="14"/>
    </row>
    <row r="88" spans="1:11" x14ac:dyDescent="0.3">
      <c r="A88" s="14"/>
      <c r="B88" s="14" t="s">
        <v>20</v>
      </c>
      <c r="C88" s="156"/>
      <c r="D88" s="17"/>
      <c r="E88" s="17"/>
      <c r="F88" s="183">
        <v>5</v>
      </c>
      <c r="G88" s="184"/>
      <c r="H88" s="185"/>
      <c r="I88" s="186">
        <v>1</v>
      </c>
      <c r="J88" s="16" t="str">
        <f>IF(C88="x",MROUND(J$43*G88+F88+J$16*0.1*H88,I88),"--")</f>
        <v>--</v>
      </c>
      <c r="K88" s="14"/>
    </row>
    <row r="89" spans="1:11" x14ac:dyDescent="0.3">
      <c r="A89" s="14"/>
      <c r="B89" s="14"/>
      <c r="C89" s="17"/>
      <c r="D89" s="17"/>
      <c r="E89" s="17"/>
      <c r="F89" s="15"/>
      <c r="G89" s="177"/>
      <c r="H89" s="31"/>
      <c r="I89" s="32"/>
      <c r="J89" s="16"/>
      <c r="K89" s="14"/>
    </row>
    <row r="90" spans="1:11" x14ac:dyDescent="0.3">
      <c r="A90" s="14"/>
      <c r="B90" s="14" t="s">
        <v>16</v>
      </c>
      <c r="C90" s="156"/>
      <c r="D90" s="17"/>
      <c r="E90" s="17"/>
      <c r="F90" s="183">
        <v>5</v>
      </c>
      <c r="G90" s="184"/>
      <c r="H90" s="185"/>
      <c r="I90" s="186">
        <v>1</v>
      </c>
      <c r="J90" s="16" t="str">
        <f>IF(C90="x",MROUND(J$43*G90+F90+J$16*0.1*H90,I90),"--")</f>
        <v>--</v>
      </c>
      <c r="K90" s="14"/>
    </row>
    <row r="91" spans="1:11" x14ac:dyDescent="0.3">
      <c r="A91" s="14"/>
      <c r="B91" s="14"/>
      <c r="C91" s="17"/>
      <c r="D91" s="17"/>
      <c r="E91" s="17"/>
      <c r="F91" s="15"/>
      <c r="G91" s="177"/>
      <c r="H91" s="31"/>
      <c r="I91" s="32"/>
      <c r="J91" s="16"/>
      <c r="K91" s="14"/>
    </row>
    <row r="92" spans="1:11" x14ac:dyDescent="0.3">
      <c r="A92" s="14"/>
      <c r="B92" s="14" t="s">
        <v>177</v>
      </c>
      <c r="C92" s="156"/>
      <c r="D92" s="17"/>
      <c r="E92" s="17"/>
      <c r="F92" s="183">
        <v>10</v>
      </c>
      <c r="G92" s="184"/>
      <c r="H92" s="185"/>
      <c r="I92" s="186">
        <v>1</v>
      </c>
      <c r="J92" s="16" t="str">
        <f>IF(C92="x",MROUND(J$43*G92+F92+J$16*0.1*H92,I92),"--")</f>
        <v>--</v>
      </c>
      <c r="K92" s="14"/>
    </row>
    <row r="93" spans="1:11" x14ac:dyDescent="0.3">
      <c r="A93" s="14"/>
      <c r="B93" s="14"/>
      <c r="C93" s="17"/>
      <c r="D93" s="17"/>
      <c r="E93" s="17"/>
      <c r="F93" s="15"/>
      <c r="G93" s="177"/>
      <c r="H93" s="31"/>
      <c r="I93" s="32"/>
      <c r="J93" s="16"/>
      <c r="K93" s="14"/>
    </row>
    <row r="94" spans="1:11" x14ac:dyDescent="0.3">
      <c r="A94" s="14"/>
      <c r="B94" s="14" t="s">
        <v>17</v>
      </c>
      <c r="C94" s="156"/>
      <c r="D94" s="17"/>
      <c r="E94" s="17"/>
      <c r="F94" s="183">
        <v>50</v>
      </c>
      <c r="G94" s="184"/>
      <c r="H94" s="185"/>
      <c r="I94" s="186">
        <v>1</v>
      </c>
      <c r="J94" s="16" t="str">
        <f>IF(C94="x",MROUND(J$43*G94+F94+J$16*0.1*H94,I94),"--")</f>
        <v>--</v>
      </c>
      <c r="K94" s="14"/>
    </row>
    <row r="95" spans="1:11" x14ac:dyDescent="0.3">
      <c r="A95" s="14"/>
      <c r="B95" s="14"/>
      <c r="C95" s="17"/>
      <c r="D95" s="17"/>
      <c r="E95" s="17"/>
      <c r="F95" s="15"/>
      <c r="G95" s="177"/>
      <c r="H95" s="31"/>
      <c r="I95" s="32"/>
      <c r="J95" s="16"/>
      <c r="K95" s="14"/>
    </row>
    <row r="96" spans="1:11" x14ac:dyDescent="0.3">
      <c r="A96" s="14"/>
      <c r="B96" s="14" t="s">
        <v>264</v>
      </c>
      <c r="C96" s="309" t="s">
        <v>223</v>
      </c>
      <c r="D96" s="17"/>
      <c r="E96" s="17"/>
      <c r="F96" s="183">
        <v>20</v>
      </c>
      <c r="G96" s="184"/>
      <c r="H96" s="185"/>
      <c r="I96" s="186">
        <v>1</v>
      </c>
      <c r="J96" s="16">
        <f>IF(C96="x",MROUND(J$43*G96+F96+J$16*0.1*H96,I96),"--")</f>
        <v>20</v>
      </c>
      <c r="K96" s="14"/>
    </row>
    <row r="97" spans="1:15" x14ac:dyDescent="0.3">
      <c r="A97" s="14"/>
      <c r="B97" s="14"/>
      <c r="C97" s="17"/>
      <c r="D97" s="17"/>
      <c r="E97" s="17"/>
      <c r="F97" s="15"/>
      <c r="G97" s="177"/>
      <c r="H97" s="31"/>
      <c r="I97" s="32"/>
      <c r="J97" s="16"/>
      <c r="K97" s="14"/>
    </row>
    <row r="98" spans="1:15" x14ac:dyDescent="0.3">
      <c r="A98" s="14"/>
      <c r="B98" s="14" t="s">
        <v>179</v>
      </c>
      <c r="C98" s="156"/>
      <c r="D98" s="17"/>
      <c r="E98" s="17"/>
      <c r="F98" s="183"/>
      <c r="G98" s="184">
        <v>-0.15</v>
      </c>
      <c r="H98" s="185"/>
      <c r="I98" s="186">
        <v>-1</v>
      </c>
      <c r="J98" s="16" t="str">
        <f>IF(C98="x",MROUND(J$43*G98+F98+J$16*0.1*H98,I98),"--")</f>
        <v>--</v>
      </c>
      <c r="K98" s="14"/>
    </row>
    <row r="99" spans="1:15" ht="9" customHeight="1" x14ac:dyDescent="0.3">
      <c r="A99" s="14"/>
      <c r="B99" s="14"/>
      <c r="C99" s="17"/>
      <c r="D99" s="17"/>
      <c r="E99" s="17"/>
      <c r="F99" s="15"/>
      <c r="G99" s="177"/>
      <c r="H99" s="177"/>
      <c r="I99" s="177"/>
      <c r="J99" s="16"/>
      <c r="K99" s="14"/>
    </row>
    <row r="100" spans="1:15" x14ac:dyDescent="0.3">
      <c r="A100" s="14"/>
      <c r="B100" s="25"/>
      <c r="C100" s="26"/>
      <c r="D100" s="26"/>
      <c r="E100" s="26"/>
      <c r="F100" s="27"/>
      <c r="G100" s="28"/>
      <c r="H100" s="28"/>
      <c r="I100" s="28"/>
      <c r="J100" s="29"/>
      <c r="K100" s="14"/>
    </row>
    <row r="101" spans="1:15" x14ac:dyDescent="0.3">
      <c r="A101" s="14"/>
      <c r="B101" s="14" t="s">
        <v>29</v>
      </c>
      <c r="C101" s="17"/>
      <c r="D101" s="17"/>
      <c r="E101" s="17"/>
      <c r="F101" s="15"/>
      <c r="G101" s="177"/>
      <c r="H101" s="177"/>
      <c r="I101" s="177"/>
      <c r="J101" s="16">
        <f>SUM(J43:J98)</f>
        <v>249.25</v>
      </c>
      <c r="K101" s="14"/>
    </row>
    <row r="102" spans="1:15" x14ac:dyDescent="0.3">
      <c r="A102" s="14"/>
      <c r="B102" s="34" t="s">
        <v>164</v>
      </c>
      <c r="C102" s="35"/>
      <c r="D102" s="36"/>
      <c r="E102" s="36"/>
      <c r="F102" s="36" t="s">
        <v>30</v>
      </c>
      <c r="G102" s="184">
        <v>0.19</v>
      </c>
      <c r="H102" s="37"/>
      <c r="I102" s="37"/>
      <c r="J102" s="38">
        <f>J101*G102</f>
        <v>47.357500000000002</v>
      </c>
      <c r="K102" s="14"/>
    </row>
    <row r="103" spans="1:15" x14ac:dyDescent="0.3">
      <c r="A103" s="14"/>
      <c r="B103" s="14"/>
      <c r="C103" s="17"/>
      <c r="D103" s="17"/>
      <c r="E103" s="17"/>
      <c r="F103" s="15"/>
      <c r="G103" s="177"/>
      <c r="H103" s="177"/>
      <c r="I103" s="177"/>
      <c r="J103" s="16"/>
      <c r="K103" s="14"/>
    </row>
    <row r="104" spans="1:15" s="212" customFormat="1" ht="21" thickBot="1" x14ac:dyDescent="0.4">
      <c r="A104" s="39"/>
      <c r="B104" s="40" t="s">
        <v>148</v>
      </c>
      <c r="C104" s="41"/>
      <c r="D104" s="41"/>
      <c r="E104" s="41"/>
      <c r="F104" s="42"/>
      <c r="G104" s="43"/>
      <c r="H104" s="43"/>
      <c r="I104" s="43"/>
      <c r="J104" s="44">
        <f>J101+J102</f>
        <v>296.60750000000002</v>
      </c>
      <c r="K104" s="39"/>
      <c r="O104" s="213"/>
    </row>
    <row r="105" spans="1:15" ht="17.25" thickTop="1" x14ac:dyDescent="0.3">
      <c r="A105" s="14"/>
      <c r="B105" s="14"/>
      <c r="C105" s="17"/>
      <c r="D105" s="17"/>
      <c r="E105" s="17"/>
      <c r="F105" s="15"/>
      <c r="G105" s="177"/>
      <c r="H105" s="177"/>
      <c r="I105" s="177"/>
      <c r="J105" s="16"/>
      <c r="K105" s="14"/>
    </row>
    <row r="106" spans="1:15" x14ac:dyDescent="0.3">
      <c r="A106" s="14"/>
      <c r="B106" s="14"/>
      <c r="C106" s="17"/>
      <c r="D106" s="17"/>
      <c r="E106" s="17"/>
      <c r="F106" s="15"/>
      <c r="G106" s="177"/>
      <c r="H106" s="177"/>
      <c r="I106" s="177"/>
      <c r="J106" s="16"/>
      <c r="K106" s="14"/>
    </row>
    <row r="107" spans="1:15" x14ac:dyDescent="0.3">
      <c r="A107" s="14"/>
      <c r="B107" s="14"/>
      <c r="C107" s="17"/>
      <c r="D107" s="17"/>
      <c r="E107" s="17"/>
      <c r="F107" s="15"/>
      <c r="G107" s="177"/>
      <c r="H107" s="177"/>
      <c r="I107" s="177"/>
      <c r="J107" s="16"/>
      <c r="K107" s="14"/>
    </row>
    <row r="108" spans="1:15" ht="24.6" customHeight="1" x14ac:dyDescent="0.3">
      <c r="A108" s="14"/>
      <c r="B108" s="296" t="s">
        <v>245</v>
      </c>
      <c r="C108" s="17"/>
      <c r="D108" s="17"/>
      <c r="E108" s="17"/>
      <c r="F108" s="15"/>
      <c r="G108" s="177"/>
      <c r="H108" s="177"/>
      <c r="I108" s="177"/>
      <c r="J108" s="16"/>
      <c r="K108" s="14"/>
    </row>
    <row r="109" spans="1:15" ht="26.45" customHeight="1" x14ac:dyDescent="0.3">
      <c r="A109" s="14"/>
      <c r="B109" s="296" t="s">
        <v>226</v>
      </c>
      <c r="C109" s="17"/>
      <c r="D109" s="17"/>
      <c r="E109" s="17"/>
      <c r="F109" s="15"/>
      <c r="G109" s="177"/>
      <c r="H109" s="177"/>
      <c r="I109" s="177"/>
      <c r="J109" s="16"/>
      <c r="K109" s="14"/>
    </row>
    <row r="110" spans="1:15" x14ac:dyDescent="0.3">
      <c r="A110" s="14"/>
      <c r="B110" s="297"/>
      <c r="C110" s="17"/>
      <c r="D110" s="17"/>
      <c r="E110" s="17"/>
      <c r="F110" s="15"/>
      <c r="G110" s="177"/>
      <c r="H110" s="177"/>
      <c r="I110" s="177"/>
      <c r="J110" s="16"/>
      <c r="K110" s="14"/>
    </row>
    <row r="111" spans="1:15" x14ac:dyDescent="0.3">
      <c r="A111" s="14"/>
      <c r="B111" s="296" t="s">
        <v>235</v>
      </c>
      <c r="C111" s="17"/>
      <c r="D111" s="17"/>
      <c r="E111" s="17"/>
      <c r="F111" s="15"/>
      <c r="G111" s="177"/>
      <c r="H111" s="177"/>
      <c r="I111" s="177"/>
      <c r="J111" s="16"/>
      <c r="K111" s="14"/>
    </row>
    <row r="112" spans="1:15" x14ac:dyDescent="0.3">
      <c r="A112" s="14"/>
      <c r="B112" s="296" t="s">
        <v>227</v>
      </c>
      <c r="C112" s="17"/>
      <c r="D112" s="17"/>
      <c r="E112" s="17"/>
      <c r="F112" s="15"/>
      <c r="G112" s="177"/>
      <c r="H112" s="177"/>
      <c r="I112" s="177"/>
      <c r="J112" s="16"/>
      <c r="K112" s="14"/>
    </row>
    <row r="113" spans="1:11" x14ac:dyDescent="0.3">
      <c r="A113" s="14"/>
      <c r="B113" s="296"/>
      <c r="C113" s="17"/>
      <c r="D113" s="17"/>
      <c r="E113" s="17"/>
      <c r="F113" s="15"/>
      <c r="G113" s="177"/>
      <c r="H113" s="177"/>
      <c r="I113" s="177"/>
      <c r="J113" s="16"/>
      <c r="K113" s="14"/>
    </row>
    <row r="114" spans="1:11" x14ac:dyDescent="0.3">
      <c r="A114" s="14"/>
      <c r="B114" s="296" t="s">
        <v>228</v>
      </c>
      <c r="C114" s="17"/>
      <c r="D114" s="17"/>
      <c r="E114" s="17"/>
      <c r="F114" s="15"/>
      <c r="G114" s="177"/>
      <c r="H114" s="177"/>
      <c r="I114" s="177"/>
      <c r="J114" s="16"/>
      <c r="K114" s="14"/>
    </row>
    <row r="115" spans="1:11" x14ac:dyDescent="0.3">
      <c r="A115" s="14"/>
      <c r="B115" s="296"/>
      <c r="C115" s="17"/>
      <c r="D115" s="17"/>
      <c r="E115" s="17"/>
      <c r="F115" s="15"/>
      <c r="G115" s="177"/>
      <c r="H115" s="177"/>
      <c r="I115" s="177"/>
      <c r="J115" s="16"/>
      <c r="K115" s="14"/>
    </row>
    <row r="116" spans="1:11" ht="18" x14ac:dyDescent="0.3">
      <c r="B116" s="296" t="s">
        <v>229</v>
      </c>
    </row>
    <row r="117" spans="1:11" x14ac:dyDescent="0.3">
      <c r="B117" s="298" t="s">
        <v>230</v>
      </c>
    </row>
    <row r="118" spans="1:11" x14ac:dyDescent="0.3">
      <c r="B118" s="298" t="s">
        <v>231</v>
      </c>
    </row>
    <row r="119" spans="1:11" ht="18" x14ac:dyDescent="0.3">
      <c r="B119" s="298" t="s">
        <v>232</v>
      </c>
    </row>
    <row r="120" spans="1:11" x14ac:dyDescent="0.3">
      <c r="B120" s="298" t="s">
        <v>236</v>
      </c>
    </row>
    <row r="121" spans="1:11" ht="27" x14ac:dyDescent="0.3">
      <c r="B121" s="298" t="s">
        <v>237</v>
      </c>
    </row>
    <row r="122" spans="1:11" x14ac:dyDescent="0.3">
      <c r="B122" s="298"/>
    </row>
    <row r="123" spans="1:11" x14ac:dyDescent="0.3">
      <c r="B123" s="296" t="s">
        <v>233</v>
      </c>
    </row>
    <row r="124" spans="1:11" x14ac:dyDescent="0.3">
      <c r="B124" s="296" t="s">
        <v>234</v>
      </c>
    </row>
  </sheetData>
  <sheetProtection algorithmName="SHA-512" hashValue="2Gaac6VjMYDZsVzhGwkL6EOXqkPdyeZYtyZ6V7myFub562otkefJ9h5O7OsabRu9KcKudgEibJarEY66Z+eAFg==" saltValue="hEZViJ6QGr3dtnJfHr9asw==" spinCount="100000" sheet="1" objects="1" scenarios="1"/>
  <mergeCells count="10">
    <mergeCell ref="C24:D24"/>
    <mergeCell ref="C86:D86"/>
    <mergeCell ref="C47:D47"/>
    <mergeCell ref="C68:D68"/>
    <mergeCell ref="C75:D75"/>
    <mergeCell ref="C81:D81"/>
    <mergeCell ref="C33:D33"/>
    <mergeCell ref="C26:D26"/>
    <mergeCell ref="C31:D31"/>
    <mergeCell ref="C32:D32"/>
  </mergeCells>
  <dataValidations count="7">
    <dataValidation type="list" allowBlank="1" showInputMessage="1" showErrorMessage="1" sqref="C86:E86">
      <formula1>"Lastschrift,Überweisung"</formula1>
    </dataValidation>
    <dataValidation type="list" showInputMessage="1" showErrorMessage="1" sqref="C47:D47">
      <formula1>$E$48:$E$51</formula1>
    </dataValidation>
    <dataValidation type="list" allowBlank="1" showInputMessage="1" showErrorMessage="1" sqref="C68:D68">
      <formula1>$E$69:$E$73</formula1>
    </dataValidation>
    <dataValidation type="list" allowBlank="1" showInputMessage="1" showErrorMessage="1" sqref="C75:D75">
      <formula1>$E$76:$E$79</formula1>
    </dataValidation>
    <dataValidation type="list" allowBlank="1" showInputMessage="1" showErrorMessage="1" sqref="C81:D81">
      <formula1>$E$82:$E$84</formula1>
    </dataValidation>
    <dataValidation type="whole" operator="greaterThan" allowBlank="1" showErrorMessage="1" error="Bitte geben Sie einen ganzzahligen Wert ein!" sqref="J5 J7:J10">
      <formula1>-1</formula1>
    </dataValidation>
    <dataValidation type="list" operator="greaterThan" allowBlank="1" showErrorMessage="1" error="Bitte geben Sie einen ganzzahligen Wert ein!" sqref="J6">
      <formula1>$E$7:$E$10</formula1>
    </dataValidation>
  </dataValidations>
  <pageMargins left="0.70866141732283472" right="0.70866141732283472" top="0.78740157480314965" bottom="0.78740157480314965" header="0.31496062992125984" footer="0.31496062992125984"/>
  <pageSetup paperSize="9" scale="70" fitToHeight="0"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 C (Fibu)'!#REF!</xm:f>
          </x14:formula1>
          <xm:sqref>E75 E81</xm:sqref>
        </x14:dataValidation>
        <x14:dataValidation type="list" showInputMessage="1" showErrorMessage="1">
          <x14:formula1>
            <xm:f>'Tab C (Fibu)'!#REF!</xm:f>
          </x14:formula1>
          <xm:sqref>C48:D48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workbookViewId="0">
      <pane ySplit="3" topLeftCell="A4" activePane="bottomLeft" state="frozen"/>
      <selection pane="bottomLeft" activeCell="B28" sqref="B28"/>
    </sheetView>
  </sheetViews>
  <sheetFormatPr baseColWidth="10" defaultRowHeight="16.5" x14ac:dyDescent="0.3"/>
  <cols>
    <col min="1" max="1" width="26.375" style="2" customWidth="1"/>
    <col min="2" max="2" width="14.75" style="2" customWidth="1"/>
  </cols>
  <sheetData>
    <row r="1" spans="1:2" ht="20.25" x14ac:dyDescent="0.35">
      <c r="A1" s="7" t="s">
        <v>0</v>
      </c>
    </row>
    <row r="2" spans="1:2" x14ac:dyDescent="0.3">
      <c r="A2" s="1"/>
    </row>
    <row r="3" spans="1:2" x14ac:dyDescent="0.3">
      <c r="A3" s="1" t="s">
        <v>1</v>
      </c>
      <c r="B3" s="1" t="s">
        <v>2</v>
      </c>
    </row>
    <row r="4" spans="1:2" x14ac:dyDescent="0.3">
      <c r="A4" s="3">
        <v>0</v>
      </c>
      <c r="B4" s="3">
        <v>0</v>
      </c>
    </row>
    <row r="5" spans="1:2" x14ac:dyDescent="0.3">
      <c r="A5" s="4">
        <v>15000</v>
      </c>
      <c r="B5" s="4">
        <v>68</v>
      </c>
    </row>
    <row r="6" spans="1:2" x14ac:dyDescent="0.3">
      <c r="A6" s="4">
        <v>17500</v>
      </c>
      <c r="B6" s="4">
        <v>75</v>
      </c>
    </row>
    <row r="7" spans="1:2" x14ac:dyDescent="0.3">
      <c r="A7" s="4">
        <v>20000</v>
      </c>
      <c r="B7" s="4">
        <v>83</v>
      </c>
    </row>
    <row r="8" spans="1:2" x14ac:dyDescent="0.3">
      <c r="A8" s="4">
        <v>22500</v>
      </c>
      <c r="B8" s="4">
        <v>88</v>
      </c>
    </row>
    <row r="9" spans="1:2" x14ac:dyDescent="0.3">
      <c r="A9" s="4">
        <v>25000</v>
      </c>
      <c r="B9" s="4">
        <v>95</v>
      </c>
    </row>
    <row r="10" spans="1:2" x14ac:dyDescent="0.3">
      <c r="A10" s="4">
        <v>30000</v>
      </c>
      <c r="B10" s="4">
        <v>102</v>
      </c>
    </row>
    <row r="11" spans="1:2" x14ac:dyDescent="0.3">
      <c r="A11" s="4">
        <v>35000</v>
      </c>
      <c r="B11" s="4">
        <v>110</v>
      </c>
    </row>
    <row r="12" spans="1:2" x14ac:dyDescent="0.3">
      <c r="A12" s="4">
        <v>40000</v>
      </c>
      <c r="B12" s="4">
        <v>115</v>
      </c>
    </row>
    <row r="13" spans="1:2" x14ac:dyDescent="0.3">
      <c r="A13" s="4">
        <v>45000</v>
      </c>
      <c r="B13" s="4">
        <v>122</v>
      </c>
    </row>
    <row r="14" spans="1:2" x14ac:dyDescent="0.3">
      <c r="A14" s="4">
        <v>50000</v>
      </c>
      <c r="B14" s="4">
        <v>130</v>
      </c>
    </row>
    <row r="15" spans="1:2" x14ac:dyDescent="0.3">
      <c r="A15" s="4">
        <v>62500</v>
      </c>
      <c r="B15" s="4">
        <v>137</v>
      </c>
    </row>
    <row r="16" spans="1:2" x14ac:dyDescent="0.3">
      <c r="A16" s="4">
        <v>75000</v>
      </c>
      <c r="B16" s="4">
        <v>149</v>
      </c>
    </row>
    <row r="17" spans="1:2" x14ac:dyDescent="0.3">
      <c r="A17" s="4">
        <v>87500</v>
      </c>
      <c r="B17" s="4">
        <v>164</v>
      </c>
    </row>
    <row r="18" spans="1:2" x14ac:dyDescent="0.3">
      <c r="A18" s="4">
        <v>100000</v>
      </c>
      <c r="B18" s="4">
        <v>177</v>
      </c>
    </row>
    <row r="19" spans="1:2" x14ac:dyDescent="0.3">
      <c r="A19" s="4">
        <v>125000</v>
      </c>
      <c r="B19" s="4">
        <v>197</v>
      </c>
    </row>
    <row r="20" spans="1:2" x14ac:dyDescent="0.3">
      <c r="A20" s="4">
        <v>150000</v>
      </c>
      <c r="B20" s="4">
        <v>217</v>
      </c>
    </row>
    <row r="21" spans="1:2" x14ac:dyDescent="0.3">
      <c r="A21" s="4">
        <v>200000</v>
      </c>
      <c r="B21" s="4">
        <v>259</v>
      </c>
    </row>
    <row r="22" spans="1:2" x14ac:dyDescent="0.3">
      <c r="A22" s="4">
        <v>250000</v>
      </c>
      <c r="B22" s="4">
        <v>299</v>
      </c>
    </row>
    <row r="23" spans="1:2" x14ac:dyDescent="0.3">
      <c r="A23" s="4">
        <v>300000</v>
      </c>
      <c r="B23" s="4">
        <v>339</v>
      </c>
    </row>
    <row r="24" spans="1:2" x14ac:dyDescent="0.3">
      <c r="A24" s="4">
        <v>350000</v>
      </c>
      <c r="B24" s="4">
        <v>381</v>
      </c>
    </row>
    <row r="25" spans="1:2" x14ac:dyDescent="0.3">
      <c r="A25" s="4">
        <v>400000</v>
      </c>
      <c r="B25" s="4">
        <v>416</v>
      </c>
    </row>
    <row r="26" spans="1:2" x14ac:dyDescent="0.3">
      <c r="A26" s="4">
        <v>450000</v>
      </c>
      <c r="B26" s="4">
        <v>448</v>
      </c>
    </row>
    <row r="27" spans="1:2" x14ac:dyDescent="0.3">
      <c r="A27" s="4">
        <v>500000</v>
      </c>
      <c r="B27" s="4">
        <v>483</v>
      </c>
    </row>
    <row r="28" spans="1:2" ht="33.75" customHeight="1" x14ac:dyDescent="0.3">
      <c r="A28" s="5" t="s">
        <v>6</v>
      </c>
      <c r="B28" s="6">
        <v>34</v>
      </c>
    </row>
    <row r="29" spans="1:2" x14ac:dyDescent="0.3">
      <c r="A29" s="4"/>
      <c r="B29" s="4"/>
    </row>
    <row r="30" spans="1:2" x14ac:dyDescent="0.3">
      <c r="A30" s="4"/>
      <c r="B30" s="4"/>
    </row>
    <row r="31" spans="1:2" x14ac:dyDescent="0.3">
      <c r="A31" s="4"/>
      <c r="B31" s="4"/>
    </row>
    <row r="32" spans="1:2" x14ac:dyDescent="0.3">
      <c r="A32" s="4"/>
      <c r="B32" s="4"/>
    </row>
    <row r="33" spans="1:2" x14ac:dyDescent="0.3">
      <c r="A33" s="4"/>
      <c r="B33" s="4"/>
    </row>
    <row r="34" spans="1:2" x14ac:dyDescent="0.3">
      <c r="A34" s="4"/>
      <c r="B34" s="4"/>
    </row>
    <row r="35" spans="1:2" x14ac:dyDescent="0.3">
      <c r="A35" s="4"/>
      <c r="B35" s="4"/>
    </row>
    <row r="36" spans="1:2" x14ac:dyDescent="0.3">
      <c r="A36" s="4"/>
      <c r="B36" s="4"/>
    </row>
    <row r="37" spans="1:2" x14ac:dyDescent="0.3">
      <c r="A37" s="4"/>
      <c r="B37" s="4"/>
    </row>
    <row r="38" spans="1:2" x14ac:dyDescent="0.3">
      <c r="A38" s="4"/>
      <c r="B38" s="4"/>
    </row>
    <row r="39" spans="1:2" x14ac:dyDescent="0.3">
      <c r="A39" s="4"/>
      <c r="B39" s="4"/>
    </row>
    <row r="40" spans="1:2" x14ac:dyDescent="0.3">
      <c r="A40" s="4"/>
      <c r="B40" s="4"/>
    </row>
    <row r="41" spans="1:2" x14ac:dyDescent="0.3">
      <c r="A41" s="4"/>
      <c r="B41" s="4"/>
    </row>
    <row r="42" spans="1:2" x14ac:dyDescent="0.3">
      <c r="A42" s="4"/>
      <c r="B42" s="4"/>
    </row>
    <row r="43" spans="1:2" x14ac:dyDescent="0.3">
      <c r="A43" s="4"/>
      <c r="B43" s="4"/>
    </row>
    <row r="44" spans="1:2" x14ac:dyDescent="0.3">
      <c r="A44" s="4"/>
      <c r="B44" s="4"/>
    </row>
    <row r="45" spans="1:2" x14ac:dyDescent="0.3">
      <c r="A45" s="4"/>
      <c r="B45" s="4"/>
    </row>
    <row r="46" spans="1:2" x14ac:dyDescent="0.3">
      <c r="A46" s="4"/>
      <c r="B46" s="4"/>
    </row>
    <row r="47" spans="1:2" x14ac:dyDescent="0.3">
      <c r="A47" s="4"/>
      <c r="B47" s="4"/>
    </row>
    <row r="48" spans="1:2" x14ac:dyDescent="0.3">
      <c r="A48" s="4"/>
      <c r="B48" s="4"/>
    </row>
    <row r="49" spans="1:2" x14ac:dyDescent="0.3">
      <c r="A49" s="4"/>
      <c r="B49" s="4"/>
    </row>
    <row r="50" spans="1:2" x14ac:dyDescent="0.3">
      <c r="A50" s="4"/>
      <c r="B50" s="4"/>
    </row>
    <row r="51" spans="1:2" x14ac:dyDescent="0.3">
      <c r="A51" s="4"/>
      <c r="B51" s="4"/>
    </row>
    <row r="52" spans="1:2" x14ac:dyDescent="0.3">
      <c r="A52" s="4"/>
      <c r="B52" s="4"/>
    </row>
    <row r="53" spans="1:2" x14ac:dyDescent="0.3">
      <c r="A53" s="4"/>
      <c r="B53" s="4"/>
    </row>
    <row r="54" spans="1:2" x14ac:dyDescent="0.3">
      <c r="A54" s="4"/>
      <c r="B54" s="4"/>
    </row>
    <row r="55" spans="1:2" x14ac:dyDescent="0.3">
      <c r="A55" s="4"/>
      <c r="B55" s="4"/>
    </row>
    <row r="56" spans="1:2" x14ac:dyDescent="0.3">
      <c r="A56" s="4"/>
      <c r="B56" s="4"/>
    </row>
    <row r="57" spans="1:2" x14ac:dyDescent="0.3">
      <c r="A57" s="4"/>
      <c r="B57" s="4"/>
    </row>
    <row r="58" spans="1:2" x14ac:dyDescent="0.3">
      <c r="A58" s="4"/>
      <c r="B58" s="4"/>
    </row>
    <row r="59" spans="1:2" x14ac:dyDescent="0.3">
      <c r="A59" s="4"/>
      <c r="B59" s="4"/>
    </row>
    <row r="60" spans="1:2" x14ac:dyDescent="0.3">
      <c r="A60" s="4"/>
      <c r="B60" s="4"/>
    </row>
    <row r="61" spans="1:2" x14ac:dyDescent="0.3">
      <c r="A61" s="4"/>
      <c r="B61" s="4"/>
    </row>
    <row r="62" spans="1:2" x14ac:dyDescent="0.3">
      <c r="A62" s="4"/>
      <c r="B62" s="4"/>
    </row>
    <row r="63" spans="1:2" x14ac:dyDescent="0.3">
      <c r="A63" s="4"/>
      <c r="B63" s="4"/>
    </row>
    <row r="64" spans="1:2" x14ac:dyDescent="0.3">
      <c r="A64" s="4"/>
      <c r="B64" s="4"/>
    </row>
    <row r="65" spans="1:2" x14ac:dyDescent="0.3">
      <c r="A65" s="4"/>
      <c r="B65" s="4"/>
    </row>
    <row r="66" spans="1:2" x14ac:dyDescent="0.3">
      <c r="A66" s="4"/>
      <c r="B66" s="4"/>
    </row>
    <row r="67" spans="1:2" x14ac:dyDescent="0.3">
      <c r="A67" s="4"/>
      <c r="B67" s="4"/>
    </row>
    <row r="68" spans="1:2" x14ac:dyDescent="0.3">
      <c r="A68" s="4"/>
      <c r="B68" s="4"/>
    </row>
    <row r="69" spans="1:2" x14ac:dyDescent="0.3">
      <c r="A69" s="4"/>
      <c r="B69" s="4"/>
    </row>
    <row r="70" spans="1:2" x14ac:dyDescent="0.3">
      <c r="A70" s="4"/>
      <c r="B70" s="4"/>
    </row>
    <row r="71" spans="1:2" x14ac:dyDescent="0.3">
      <c r="A71" s="4"/>
      <c r="B71" s="4"/>
    </row>
    <row r="72" spans="1:2" x14ac:dyDescent="0.3">
      <c r="A72" s="4"/>
      <c r="B72" s="4"/>
    </row>
    <row r="73" spans="1:2" x14ac:dyDescent="0.3">
      <c r="A73" s="4"/>
      <c r="B73" s="4"/>
    </row>
    <row r="74" spans="1:2" x14ac:dyDescent="0.3">
      <c r="A74" s="4"/>
      <c r="B74" s="4"/>
    </row>
    <row r="75" spans="1:2" x14ac:dyDescent="0.3">
      <c r="A75" s="4"/>
      <c r="B75" s="4"/>
    </row>
    <row r="76" spans="1:2" x14ac:dyDescent="0.3">
      <c r="A76" s="4"/>
      <c r="B76" s="4"/>
    </row>
    <row r="77" spans="1:2" x14ac:dyDescent="0.3">
      <c r="A77" s="4"/>
      <c r="B77" s="4"/>
    </row>
    <row r="78" spans="1:2" x14ac:dyDescent="0.3">
      <c r="A78" s="4"/>
      <c r="B78" s="4"/>
    </row>
    <row r="79" spans="1:2" x14ac:dyDescent="0.3">
      <c r="A79" s="4"/>
      <c r="B79" s="4"/>
    </row>
    <row r="80" spans="1:2" x14ac:dyDescent="0.3">
      <c r="A80" s="4"/>
      <c r="B80" s="4"/>
    </row>
    <row r="81" spans="1:2" x14ac:dyDescent="0.3">
      <c r="A81" s="4"/>
      <c r="B81" s="4"/>
    </row>
    <row r="82" spans="1:2" x14ac:dyDescent="0.3">
      <c r="A82" s="4"/>
      <c r="B82" s="4"/>
    </row>
    <row r="83" spans="1:2" x14ac:dyDescent="0.3">
      <c r="A83" s="4"/>
      <c r="B83" s="4"/>
    </row>
    <row r="84" spans="1:2" x14ac:dyDescent="0.3">
      <c r="A84" s="4"/>
      <c r="B84" s="4"/>
    </row>
    <row r="85" spans="1:2" x14ac:dyDescent="0.3">
      <c r="A85" s="4"/>
      <c r="B85" s="4"/>
    </row>
    <row r="86" spans="1:2" x14ac:dyDescent="0.3">
      <c r="A86" s="4"/>
      <c r="B86" s="4"/>
    </row>
    <row r="87" spans="1:2" x14ac:dyDescent="0.3">
      <c r="A87" s="4"/>
      <c r="B87" s="4"/>
    </row>
    <row r="88" spans="1:2" x14ac:dyDescent="0.3">
      <c r="A88" s="4"/>
      <c r="B88" s="4"/>
    </row>
    <row r="89" spans="1:2" x14ac:dyDescent="0.3">
      <c r="A89" s="4"/>
      <c r="B89" s="4"/>
    </row>
    <row r="90" spans="1:2" x14ac:dyDescent="0.3">
      <c r="A90" s="4"/>
      <c r="B90" s="4"/>
    </row>
    <row r="91" spans="1:2" x14ac:dyDescent="0.3">
      <c r="A91" s="4"/>
      <c r="B91" s="4"/>
    </row>
    <row r="92" spans="1:2" x14ac:dyDescent="0.3">
      <c r="A92" s="4"/>
      <c r="B92" s="4"/>
    </row>
    <row r="93" spans="1:2" x14ac:dyDescent="0.3">
      <c r="A93" s="4"/>
      <c r="B93" s="4"/>
    </row>
    <row r="94" spans="1:2" x14ac:dyDescent="0.3">
      <c r="A94" s="4"/>
      <c r="B94" s="4"/>
    </row>
    <row r="95" spans="1:2" x14ac:dyDescent="0.3">
      <c r="A95" s="4"/>
      <c r="B95" s="4"/>
    </row>
    <row r="96" spans="1:2" x14ac:dyDescent="0.3">
      <c r="A96" s="4"/>
      <c r="B96" s="4"/>
    </row>
    <row r="97" spans="1:2" x14ac:dyDescent="0.3">
      <c r="A97" s="4"/>
      <c r="B97" s="4"/>
    </row>
    <row r="98" spans="1:2" x14ac:dyDescent="0.3">
      <c r="A98" s="4"/>
      <c r="B98" s="4"/>
    </row>
    <row r="99" spans="1:2" x14ac:dyDescent="0.3">
      <c r="A99" s="4"/>
      <c r="B99" s="4"/>
    </row>
    <row r="100" spans="1:2" x14ac:dyDescent="0.3">
      <c r="A100" s="4"/>
      <c r="B100" s="4"/>
    </row>
    <row r="101" spans="1:2" x14ac:dyDescent="0.3">
      <c r="A101" s="4"/>
      <c r="B101" s="4"/>
    </row>
    <row r="102" spans="1:2" x14ac:dyDescent="0.3">
      <c r="A102" s="4"/>
      <c r="B102" s="4"/>
    </row>
    <row r="103" spans="1:2" x14ac:dyDescent="0.3">
      <c r="A103" s="4"/>
      <c r="B103" s="4"/>
    </row>
    <row r="104" spans="1:2" x14ac:dyDescent="0.3">
      <c r="A104" s="4"/>
      <c r="B104" s="4"/>
    </row>
    <row r="105" spans="1:2" x14ac:dyDescent="0.3">
      <c r="A105" s="4"/>
      <c r="B105" s="4"/>
    </row>
    <row r="106" spans="1:2" x14ac:dyDescent="0.3">
      <c r="A106" s="4"/>
      <c r="B106" s="4"/>
    </row>
    <row r="107" spans="1:2" x14ac:dyDescent="0.3">
      <c r="A107" s="4"/>
      <c r="B107" s="4"/>
    </row>
    <row r="108" spans="1:2" x14ac:dyDescent="0.3">
      <c r="A108" s="4"/>
      <c r="B108" s="4"/>
    </row>
    <row r="109" spans="1:2" x14ac:dyDescent="0.3">
      <c r="A109" s="4"/>
      <c r="B109" s="4"/>
    </row>
    <row r="110" spans="1:2" x14ac:dyDescent="0.3">
      <c r="A110" s="4"/>
      <c r="B110" s="4"/>
    </row>
    <row r="111" spans="1:2" x14ac:dyDescent="0.3">
      <c r="A111" s="4"/>
      <c r="B111" s="4"/>
    </row>
    <row r="112" spans="1:2" x14ac:dyDescent="0.3">
      <c r="A112" s="4"/>
      <c r="B112" s="4"/>
    </row>
    <row r="113" spans="1:2" x14ac:dyDescent="0.3">
      <c r="A113" s="4"/>
      <c r="B113" s="4"/>
    </row>
  </sheetData>
  <sheetProtection algorithmName="SHA-512" hashValue="hTxejTlomrg6FOPcSnqFwVcHhA2rEuK9p2pk6bPEGfr90sSOdJaUsa9YmlzuyrhOoKx9qIHCJbZCH9PrP4dVcg==" saltValue="fhaDnF4tTEjiBTRKOzVxhg==" spinCount="100000"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outlinePr summaryBelow="0" summaryRight="0"/>
    <pageSetUpPr fitToPage="1"/>
  </sheetPr>
  <dimension ref="A1:BB128"/>
  <sheetViews>
    <sheetView showGridLines="0" showRowColHeaders="0" topLeftCell="B52" zoomScaleNormal="100" workbookViewId="0">
      <selection activeCell="C67" sqref="C67"/>
    </sheetView>
  </sheetViews>
  <sheetFormatPr baseColWidth="10" defaultColWidth="11" defaultRowHeight="16.5" outlineLevelRow="1" outlineLevelCol="1" x14ac:dyDescent="0.3"/>
  <cols>
    <col min="1" max="1" width="2.75" style="52" customWidth="1"/>
    <col min="2" max="2" width="50.625" style="56" customWidth="1"/>
    <col min="3" max="3" width="2.875" style="58" customWidth="1"/>
    <col min="4" max="4" width="29.25" style="58" customWidth="1" collapsed="1"/>
    <col min="5" max="5" width="18.25" style="58" hidden="1" customWidth="1" outlineLevel="1"/>
    <col min="6" max="6" width="15.25" style="53" hidden="1" customWidth="1" outlineLevel="1"/>
    <col min="7" max="7" width="15.25" style="54" hidden="1" customWidth="1" outlineLevel="1"/>
    <col min="8" max="8" width="21.25" style="54" hidden="1" customWidth="1" outlineLevel="1"/>
    <col min="9" max="9" width="34.125" style="55" customWidth="1" collapsed="1"/>
    <col min="10" max="13" width="11" style="56"/>
    <col min="14" max="14" width="11" style="57"/>
    <col min="15" max="16384" width="11" style="56"/>
  </cols>
  <sheetData>
    <row r="1" spans="1:14" x14ac:dyDescent="0.3">
      <c r="I1" s="161">
        <f>Stammdaten!D2</f>
        <v>45003</v>
      </c>
    </row>
    <row r="2" spans="1:14" s="46" customFormat="1" ht="20.25" customHeight="1" x14ac:dyDescent="0.35">
      <c r="A2" s="45"/>
      <c r="B2" s="160" t="str">
        <f>CONCATENATE(Stammdaten!D9," ",Stammdaten!D11)</f>
        <v>99999 Test</v>
      </c>
      <c r="C2" s="47"/>
      <c r="D2" s="47"/>
      <c r="E2" s="47"/>
      <c r="F2" s="48"/>
      <c r="G2" s="49"/>
      <c r="H2" s="49"/>
      <c r="I2" s="50"/>
      <c r="N2" s="51"/>
    </row>
    <row r="3" spans="1:14" ht="25.5" x14ac:dyDescent="0.5">
      <c r="B3" s="162" t="str">
        <f>CONCATENATE(Stammdaten!D6," für Ihre Lohnabrechnung für das Wirtschaftsjahr ",Stammdaten!D4)</f>
        <v>Honorarangebot für Ihre Lohnabrechnung für das Wirtschaftsjahr 2023</v>
      </c>
      <c r="C3" s="162"/>
      <c r="D3" s="162"/>
      <c r="E3" s="162"/>
    </row>
    <row r="5" spans="1:14" x14ac:dyDescent="0.3">
      <c r="B5" s="56" t="s">
        <v>147</v>
      </c>
      <c r="I5" s="172">
        <v>10</v>
      </c>
    </row>
    <row r="6" spans="1:14" collapsed="1" x14ac:dyDescent="0.3"/>
    <row r="7" spans="1:14" hidden="1" outlineLevel="1" x14ac:dyDescent="0.3">
      <c r="B7" s="56" t="s">
        <v>32</v>
      </c>
      <c r="H7" s="54" t="s">
        <v>32</v>
      </c>
      <c r="I7" s="190">
        <v>0</v>
      </c>
    </row>
    <row r="8" spans="1:14" hidden="1" outlineLevel="1" x14ac:dyDescent="0.3">
      <c r="I8" s="80"/>
    </row>
    <row r="9" spans="1:14" hidden="1" outlineLevel="1" x14ac:dyDescent="0.3">
      <c r="B9" s="56" t="s">
        <v>145</v>
      </c>
      <c r="H9" s="214">
        <v>0</v>
      </c>
      <c r="I9" s="190">
        <v>28</v>
      </c>
    </row>
    <row r="10" spans="1:14" hidden="1" outlineLevel="1" x14ac:dyDescent="0.3">
      <c r="H10" s="214">
        <v>2</v>
      </c>
      <c r="I10" s="190">
        <v>17</v>
      </c>
    </row>
    <row r="11" spans="1:14" hidden="1" outlineLevel="1" x14ac:dyDescent="0.3">
      <c r="H11" s="214">
        <v>41</v>
      </c>
      <c r="I11" s="190">
        <v>16</v>
      </c>
    </row>
    <row r="12" spans="1:14" hidden="1" outlineLevel="1" x14ac:dyDescent="0.3">
      <c r="H12" s="214">
        <v>61</v>
      </c>
      <c r="I12" s="190">
        <v>15</v>
      </c>
    </row>
    <row r="13" spans="1:14" hidden="1" outlineLevel="1" x14ac:dyDescent="0.3">
      <c r="H13" s="214">
        <v>81</v>
      </c>
      <c r="I13" s="190">
        <v>13</v>
      </c>
    </row>
    <row r="14" spans="1:14" hidden="1" outlineLevel="1" x14ac:dyDescent="0.3">
      <c r="H14" s="214">
        <v>101</v>
      </c>
      <c r="I14" s="190">
        <v>11</v>
      </c>
    </row>
    <row r="15" spans="1:14" hidden="1" outlineLevel="1" x14ac:dyDescent="0.3">
      <c r="H15" s="214"/>
      <c r="I15" s="80"/>
    </row>
    <row r="16" spans="1:14" hidden="1" outlineLevel="1" x14ac:dyDescent="0.3">
      <c r="B16" s="56" t="s">
        <v>146</v>
      </c>
      <c r="I16" s="55">
        <f>VLOOKUP(I5,H9:I14,2,1)</f>
        <v>17</v>
      </c>
    </row>
    <row r="17" spans="1:2" hidden="1" outlineLevel="1" x14ac:dyDescent="0.3"/>
    <row r="18" spans="1:2" x14ac:dyDescent="0.3">
      <c r="B18" s="59" t="s">
        <v>79</v>
      </c>
    </row>
    <row r="20" spans="1:2" x14ac:dyDescent="0.3">
      <c r="A20" s="52" t="s">
        <v>144</v>
      </c>
      <c r="B20" s="56" t="s">
        <v>138</v>
      </c>
    </row>
    <row r="21" spans="1:2" x14ac:dyDescent="0.3">
      <c r="A21" s="52" t="s">
        <v>144</v>
      </c>
      <c r="B21" s="56" t="s">
        <v>139</v>
      </c>
    </row>
    <row r="22" spans="1:2" x14ac:dyDescent="0.3">
      <c r="A22" s="52" t="s">
        <v>144</v>
      </c>
      <c r="B22" s="56" t="s">
        <v>136</v>
      </c>
    </row>
    <row r="23" spans="1:2" x14ac:dyDescent="0.3">
      <c r="A23" s="52" t="s">
        <v>144</v>
      </c>
      <c r="B23" s="56" t="s">
        <v>134</v>
      </c>
    </row>
    <row r="24" spans="1:2" x14ac:dyDescent="0.3">
      <c r="A24" s="52" t="s">
        <v>144</v>
      </c>
      <c r="B24" s="56" t="s">
        <v>135</v>
      </c>
    </row>
    <row r="25" spans="1:2" x14ac:dyDescent="0.3">
      <c r="A25" s="52" t="s">
        <v>144</v>
      </c>
      <c r="B25" s="56" t="s">
        <v>137</v>
      </c>
    </row>
    <row r="26" spans="1:2" x14ac:dyDescent="0.3">
      <c r="A26" s="52" t="s">
        <v>144</v>
      </c>
      <c r="B26" s="56" t="s">
        <v>140</v>
      </c>
    </row>
    <row r="27" spans="1:2" x14ac:dyDescent="0.3">
      <c r="A27" s="52" t="s">
        <v>144</v>
      </c>
      <c r="B27" s="56" t="s">
        <v>141</v>
      </c>
    </row>
    <row r="28" spans="1:2" x14ac:dyDescent="0.3">
      <c r="B28" s="56" t="s">
        <v>142</v>
      </c>
    </row>
    <row r="29" spans="1:2" x14ac:dyDescent="0.3">
      <c r="A29" s="52" t="s">
        <v>144</v>
      </c>
      <c r="B29" s="56" t="s">
        <v>143</v>
      </c>
    </row>
    <row r="30" spans="1:2" x14ac:dyDescent="0.3">
      <c r="A30" s="52" t="s">
        <v>144</v>
      </c>
      <c r="B30" s="56" t="s">
        <v>42</v>
      </c>
    </row>
    <row r="31" spans="1:2" x14ac:dyDescent="0.3">
      <c r="A31" s="52" t="s">
        <v>144</v>
      </c>
      <c r="B31" s="56" t="s">
        <v>198</v>
      </c>
    </row>
    <row r="33" spans="1:54" ht="17.25" x14ac:dyDescent="0.3">
      <c r="A33" s="60"/>
      <c r="B33" s="61" t="s">
        <v>33</v>
      </c>
      <c r="C33" s="62"/>
      <c r="D33" s="62"/>
      <c r="E33" s="62"/>
      <c r="F33" s="63"/>
      <c r="G33" s="64"/>
      <c r="H33" s="64"/>
      <c r="I33" s="65">
        <f>IF(I5&gt;0,(I7+I5*I16)/I5,0)</f>
        <v>17</v>
      </c>
      <c r="J33" s="61"/>
      <c r="K33" s="61"/>
      <c r="L33" s="61"/>
      <c r="M33" s="61"/>
      <c r="N33" s="66"/>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1:54" s="61" customFormat="1" ht="17.25" x14ac:dyDescent="0.3">
      <c r="A34" s="52"/>
      <c r="B34" s="67"/>
      <c r="C34" s="68"/>
      <c r="D34" s="68"/>
      <c r="E34" s="68"/>
      <c r="F34" s="69"/>
      <c r="G34" s="70"/>
      <c r="H34" s="70"/>
      <c r="I34" s="71"/>
      <c r="J34" s="56"/>
      <c r="K34" s="56"/>
      <c r="L34" s="56"/>
      <c r="M34" s="56"/>
      <c r="N34" s="57"/>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row>
    <row r="35" spans="1:54" ht="20.25" x14ac:dyDescent="0.35">
      <c r="B35" s="46" t="s">
        <v>45</v>
      </c>
      <c r="E35" s="75" t="s">
        <v>168</v>
      </c>
      <c r="F35" s="76" t="s">
        <v>167</v>
      </c>
      <c r="G35" s="77" t="s">
        <v>169</v>
      </c>
      <c r="H35" s="77" t="s">
        <v>132</v>
      </c>
    </row>
    <row r="37" spans="1:54" x14ac:dyDescent="0.3">
      <c r="B37" s="56" t="s">
        <v>38</v>
      </c>
      <c r="C37" s="312" t="s">
        <v>41</v>
      </c>
      <c r="D37" s="312"/>
      <c r="F37" s="72">
        <f>VLOOKUP(C37,E38:G41,2,0)</f>
        <v>0</v>
      </c>
      <c r="G37" s="54">
        <f>VLOOKUP(C37,E38:G41,3,0)</f>
        <v>0</v>
      </c>
      <c r="H37" s="186">
        <v>0.01</v>
      </c>
      <c r="I37" s="55" t="str">
        <f>IF(OR(F37&gt;0,G37&gt;0),MROUND(I$33*G37+F37,H37),"--")</f>
        <v>--</v>
      </c>
    </row>
    <row r="38" spans="1:54" collapsed="1" x14ac:dyDescent="0.3">
      <c r="E38" s="216" t="s">
        <v>41</v>
      </c>
      <c r="F38" s="217"/>
      <c r="G38" s="218"/>
      <c r="H38" s="73"/>
    </row>
    <row r="39" spans="1:54" hidden="1" outlineLevel="1" x14ac:dyDescent="0.3">
      <c r="E39" s="216" t="s">
        <v>39</v>
      </c>
      <c r="F39" s="217">
        <v>5</v>
      </c>
      <c r="G39" s="218"/>
      <c r="H39" s="73"/>
    </row>
    <row r="40" spans="1:54" hidden="1" outlineLevel="1" x14ac:dyDescent="0.3">
      <c r="E40" s="216" t="s">
        <v>40</v>
      </c>
      <c r="F40" s="217">
        <v>1</v>
      </c>
      <c r="G40" s="218"/>
      <c r="H40" s="73"/>
    </row>
    <row r="41" spans="1:54" hidden="1" outlineLevel="1" x14ac:dyDescent="0.3">
      <c r="E41" s="216" t="s">
        <v>254</v>
      </c>
      <c r="F41" s="217">
        <v>2</v>
      </c>
      <c r="G41" s="218"/>
      <c r="H41" s="73"/>
    </row>
    <row r="42" spans="1:54" hidden="1" outlineLevel="1" x14ac:dyDescent="0.3">
      <c r="H42" s="73"/>
    </row>
    <row r="43" spans="1:54" x14ac:dyDescent="0.3">
      <c r="B43" s="301" t="s">
        <v>34</v>
      </c>
      <c r="C43" s="156"/>
      <c r="F43" s="183">
        <v>2</v>
      </c>
      <c r="G43" s="184"/>
      <c r="H43" s="186">
        <v>0.01</v>
      </c>
      <c r="I43" s="55" t="str">
        <f>IF(C43="x",MROUND(I$33*G43+F43,H43),"--")</f>
        <v>--</v>
      </c>
    </row>
    <row r="44" spans="1:54" x14ac:dyDescent="0.3">
      <c r="B44" s="301"/>
      <c r="H44" s="73"/>
    </row>
    <row r="45" spans="1:54" x14ac:dyDescent="0.3">
      <c r="B45" s="301" t="s">
        <v>261</v>
      </c>
      <c r="C45" s="156" t="s">
        <v>223</v>
      </c>
      <c r="F45" s="183">
        <v>2</v>
      </c>
      <c r="G45" s="184"/>
      <c r="H45" s="186">
        <v>0.01</v>
      </c>
      <c r="I45" s="55">
        <f>IF(C45="x",MROUND(I$33*G45+F45,H45),"--")</f>
        <v>2</v>
      </c>
    </row>
    <row r="46" spans="1:54" x14ac:dyDescent="0.3">
      <c r="B46" s="301"/>
      <c r="H46" s="73"/>
    </row>
    <row r="47" spans="1:54" x14ac:dyDescent="0.3">
      <c r="B47" s="301" t="s">
        <v>262</v>
      </c>
      <c r="C47" s="156"/>
      <c r="F47" s="183">
        <v>-1</v>
      </c>
      <c r="G47" s="184"/>
      <c r="H47" s="186">
        <v>-0.01</v>
      </c>
      <c r="I47" s="55" t="str">
        <f>IF(C47="x",MROUND(I$33*G47+F47,H47),"--")</f>
        <v>--</v>
      </c>
    </row>
    <row r="48" spans="1:54" x14ac:dyDescent="0.3">
      <c r="B48" s="301"/>
      <c r="H48" s="73"/>
    </row>
    <row r="49" spans="1:13" x14ac:dyDescent="0.3">
      <c r="B49" s="301" t="s">
        <v>35</v>
      </c>
      <c r="C49" s="156"/>
      <c r="F49" s="183">
        <v>1.5</v>
      </c>
      <c r="G49" s="184"/>
      <c r="H49" s="186">
        <v>0.01</v>
      </c>
      <c r="I49" s="55" t="str">
        <f>IF(C49="x",MROUND(I$33*G49+F49,H49),"--")</f>
        <v>--</v>
      </c>
    </row>
    <row r="50" spans="1:13" x14ac:dyDescent="0.3">
      <c r="B50" s="301"/>
      <c r="H50" s="73"/>
    </row>
    <row r="51" spans="1:13" x14ac:dyDescent="0.3">
      <c r="B51" s="301" t="s">
        <v>36</v>
      </c>
      <c r="C51" s="156"/>
      <c r="F51" s="183">
        <v>1</v>
      </c>
      <c r="G51" s="184"/>
      <c r="H51" s="186">
        <v>0.01</v>
      </c>
      <c r="I51" s="55" t="str">
        <f>IF(C51="x",MROUND(I$33*G51+F51,H51),"--")</f>
        <v>--</v>
      </c>
    </row>
    <row r="52" spans="1:13" x14ac:dyDescent="0.3">
      <c r="B52" s="301"/>
      <c r="H52" s="73"/>
    </row>
    <row r="53" spans="1:13" x14ac:dyDescent="0.3">
      <c r="B53" s="301" t="s">
        <v>255</v>
      </c>
      <c r="C53" s="156"/>
      <c r="F53" s="183">
        <v>3</v>
      </c>
      <c r="G53" s="184"/>
      <c r="H53" s="186">
        <v>0.01</v>
      </c>
      <c r="I53" s="55" t="str">
        <f>IF(C53="x",MROUND(I$33*G53+F53,H53),"--")</f>
        <v>--</v>
      </c>
    </row>
    <row r="54" spans="1:13" x14ac:dyDescent="0.3">
      <c r="B54" s="301"/>
      <c r="H54" s="73"/>
    </row>
    <row r="55" spans="1:13" x14ac:dyDescent="0.3">
      <c r="B55" s="301" t="s">
        <v>37</v>
      </c>
      <c r="C55" s="156"/>
      <c r="F55" s="183">
        <v>-1</v>
      </c>
      <c r="G55" s="184"/>
      <c r="H55" s="186">
        <v>-0.01</v>
      </c>
      <c r="I55" s="55" t="str">
        <f>IF(C55="x",MROUND(I$33*G55+F55,H55),"--")</f>
        <v>--</v>
      </c>
    </row>
    <row r="56" spans="1:13" x14ac:dyDescent="0.3">
      <c r="B56" s="301"/>
      <c r="H56" s="73"/>
    </row>
    <row r="57" spans="1:13" x14ac:dyDescent="0.3">
      <c r="B57" s="301" t="s">
        <v>63</v>
      </c>
      <c r="C57" s="156" t="s">
        <v>223</v>
      </c>
      <c r="F57" s="183">
        <v>0.5</v>
      </c>
      <c r="G57" s="184"/>
      <c r="H57" s="186">
        <v>0.01</v>
      </c>
      <c r="I57" s="55">
        <f>IF(C57="x",MROUND(I$33*G57+F57,H57),"--")</f>
        <v>0.5</v>
      </c>
    </row>
    <row r="58" spans="1:13" x14ac:dyDescent="0.3">
      <c r="C58" s="74"/>
      <c r="H58" s="73"/>
    </row>
    <row r="59" spans="1:13" x14ac:dyDescent="0.3">
      <c r="A59" s="302"/>
      <c r="B59" s="303" t="s">
        <v>44</v>
      </c>
      <c r="C59" s="304"/>
      <c r="D59" s="304"/>
      <c r="E59" s="304"/>
      <c r="F59" s="305"/>
      <c r="G59" s="306"/>
      <c r="H59" s="306"/>
      <c r="I59" s="307">
        <f>SUM(I37:I58)</f>
        <v>2.5</v>
      </c>
      <c r="J59" s="308"/>
      <c r="K59" s="308"/>
      <c r="L59" s="308"/>
      <c r="M59" s="308"/>
    </row>
    <row r="60" spans="1:13" x14ac:dyDescent="0.3">
      <c r="B60" s="59"/>
      <c r="C60" s="75"/>
      <c r="D60" s="75"/>
      <c r="E60" s="75"/>
      <c r="F60" s="76"/>
      <c r="G60" s="77"/>
      <c r="H60" s="77"/>
      <c r="I60" s="78"/>
    </row>
    <row r="61" spans="1:13" x14ac:dyDescent="0.3">
      <c r="B61" s="59" t="s">
        <v>43</v>
      </c>
      <c r="C61" s="75"/>
      <c r="D61" s="75"/>
      <c r="E61" s="75"/>
      <c r="F61" s="76"/>
      <c r="G61" s="77"/>
      <c r="H61" s="77"/>
      <c r="I61" s="78">
        <f>I33+I59</f>
        <v>19.5</v>
      </c>
    </row>
    <row r="62" spans="1:13" x14ac:dyDescent="0.3">
      <c r="B62" s="59"/>
      <c r="C62" s="75"/>
      <c r="D62" s="75"/>
      <c r="E62" s="75"/>
      <c r="F62" s="76"/>
      <c r="G62" s="77"/>
      <c r="H62" s="77"/>
      <c r="I62" s="78"/>
    </row>
    <row r="63" spans="1:13" x14ac:dyDescent="0.3">
      <c r="B63" s="59"/>
      <c r="C63" s="75"/>
      <c r="D63" s="75"/>
      <c r="E63" s="75"/>
      <c r="F63" s="76"/>
      <c r="G63" s="77"/>
      <c r="H63" s="77"/>
      <c r="I63" s="78"/>
    </row>
    <row r="65" spans="1:54" x14ac:dyDescent="0.3">
      <c r="B65" s="59" t="s">
        <v>211</v>
      </c>
      <c r="C65" s="75"/>
      <c r="D65" s="75"/>
      <c r="E65" s="75"/>
      <c r="F65" s="76"/>
      <c r="G65" s="77"/>
      <c r="H65" s="77"/>
      <c r="I65" s="78">
        <f>I61*I5</f>
        <v>195</v>
      </c>
    </row>
    <row r="67" spans="1:54" x14ac:dyDescent="0.3">
      <c r="B67" s="56" t="s">
        <v>264</v>
      </c>
      <c r="C67" s="58" t="s">
        <v>223</v>
      </c>
      <c r="F67" s="183">
        <v>20</v>
      </c>
      <c r="G67" s="184"/>
      <c r="H67" s="186">
        <v>1</v>
      </c>
      <c r="I67" s="55">
        <f t="shared" ref="I67" si="0">IF(C67="x",MROUND(I$33*G67+F67,H67),"--")</f>
        <v>20</v>
      </c>
    </row>
    <row r="68" spans="1:54" ht="20.25" x14ac:dyDescent="0.35">
      <c r="B68" s="46" t="s">
        <v>46</v>
      </c>
      <c r="F68" s="183"/>
      <c r="G68" s="184"/>
      <c r="H68" s="186"/>
    </row>
    <row r="69" spans="1:54" x14ac:dyDescent="0.3">
      <c r="F69" s="183"/>
      <c r="G69" s="184"/>
      <c r="H69" s="186"/>
    </row>
    <row r="70" spans="1:54" x14ac:dyDescent="0.3">
      <c r="B70" s="56" t="s">
        <v>246</v>
      </c>
      <c r="C70" s="156"/>
      <c r="F70" s="183">
        <v>85</v>
      </c>
      <c r="G70" s="184"/>
      <c r="H70" s="186">
        <v>1</v>
      </c>
      <c r="I70" s="55" t="str">
        <f>IF(C70="x",MROUND(I$33*G70+F70,H70),"--")</f>
        <v>--</v>
      </c>
    </row>
    <row r="72" spans="1:54" x14ac:dyDescent="0.3">
      <c r="B72" s="56" t="s">
        <v>15</v>
      </c>
      <c r="C72" s="312" t="s">
        <v>27</v>
      </c>
      <c r="D72" s="312"/>
      <c r="E72" s="219"/>
      <c r="F72" s="183">
        <v>5</v>
      </c>
      <c r="G72" s="215" t="s">
        <v>171</v>
      </c>
      <c r="H72" s="79"/>
      <c r="I72" s="55" t="str">
        <f>IF(C72="Überweisung",F72,"--")</f>
        <v>--</v>
      </c>
      <c r="N72" s="56"/>
      <c r="O72" s="57"/>
      <c r="AS72" s="220"/>
      <c r="AT72" s="220"/>
      <c r="AU72" s="220"/>
      <c r="AV72" s="220"/>
      <c r="AW72" s="220"/>
      <c r="AX72" s="220"/>
      <c r="AY72" s="220"/>
      <c r="AZ72" s="220"/>
      <c r="BA72" s="220"/>
      <c r="BB72" s="220"/>
    </row>
    <row r="73" spans="1:54" s="220" customFormat="1" x14ac:dyDescent="0.3">
      <c r="A73" s="52"/>
      <c r="B73" s="59"/>
      <c r="C73" s="75"/>
      <c r="D73" s="75"/>
      <c r="E73" s="75"/>
      <c r="F73" s="76"/>
      <c r="G73" s="77"/>
      <c r="H73" s="77"/>
      <c r="I73" s="78"/>
      <c r="J73" s="56"/>
      <c r="K73" s="56"/>
      <c r="L73" s="56"/>
      <c r="M73" s="56"/>
      <c r="N73" s="57"/>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54" s="220" customFormat="1" x14ac:dyDescent="0.3">
      <c r="A74" s="52"/>
      <c r="B74" s="59" t="s">
        <v>133</v>
      </c>
      <c r="C74" s="222"/>
      <c r="D74" s="75"/>
      <c r="E74" s="75"/>
      <c r="F74" s="76"/>
      <c r="G74" s="77"/>
      <c r="H74" s="77"/>
      <c r="I74" s="78">
        <f>SUM(I70:I72)</f>
        <v>0</v>
      </c>
      <c r="J74" s="56"/>
      <c r="K74" s="56"/>
      <c r="L74" s="56"/>
      <c r="M74" s="56"/>
      <c r="N74" s="57"/>
      <c r="O74" s="56"/>
      <c r="P74" s="56"/>
      <c r="Q74" s="56"/>
      <c r="R74" s="56"/>
    </row>
    <row r="75" spans="1:54" s="220" customFormat="1" x14ac:dyDescent="0.3">
      <c r="A75" s="52"/>
      <c r="B75" s="56"/>
      <c r="C75" s="74"/>
      <c r="D75" s="74"/>
      <c r="E75" s="74"/>
      <c r="F75" s="53"/>
      <c r="G75" s="54"/>
      <c r="H75" s="79"/>
      <c r="I75" s="55"/>
      <c r="J75" s="56"/>
      <c r="K75" s="56"/>
      <c r="L75" s="56"/>
      <c r="M75" s="56"/>
      <c r="N75" s="56"/>
      <c r="O75" s="57"/>
      <c r="P75" s="56"/>
      <c r="Q75" s="56"/>
      <c r="R75" s="56"/>
      <c r="AS75" s="56"/>
      <c r="AT75" s="56"/>
      <c r="AU75" s="56"/>
      <c r="AV75" s="56"/>
      <c r="AW75" s="56"/>
      <c r="AX75" s="56"/>
      <c r="AY75" s="56"/>
      <c r="AZ75" s="56"/>
      <c r="BA75" s="56"/>
      <c r="BB75" s="56"/>
    </row>
    <row r="76" spans="1:54" ht="20.25" x14ac:dyDescent="0.35">
      <c r="A76" s="56"/>
      <c r="B76" s="67"/>
      <c r="C76" s="68"/>
      <c r="D76" s="68"/>
      <c r="E76" s="68"/>
      <c r="F76" s="69"/>
      <c r="G76" s="70"/>
      <c r="H76" s="70"/>
      <c r="I76" s="70"/>
      <c r="J76" s="80"/>
      <c r="L76" s="220"/>
      <c r="M76" s="220"/>
      <c r="N76" s="220"/>
      <c r="O76" s="221"/>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92"/>
      <c r="AT76" s="92"/>
      <c r="AU76" s="92"/>
      <c r="AV76" s="92"/>
      <c r="AW76" s="92"/>
      <c r="AX76" s="92"/>
      <c r="AY76" s="92"/>
      <c r="AZ76" s="92"/>
      <c r="BA76" s="92"/>
      <c r="BB76" s="92"/>
    </row>
    <row r="77" spans="1:54" s="92" customFormat="1" ht="20.25" x14ac:dyDescent="0.35">
      <c r="A77" s="56"/>
      <c r="B77" s="56" t="s">
        <v>29</v>
      </c>
      <c r="C77" s="58"/>
      <c r="D77" s="58"/>
      <c r="E77" s="58"/>
      <c r="F77" s="53"/>
      <c r="G77" s="54"/>
      <c r="H77" s="54"/>
      <c r="I77" s="55">
        <f>I65+I74+I67</f>
        <v>215</v>
      </c>
      <c r="J77" s="56"/>
      <c r="K77" s="56"/>
      <c r="L77" s="220"/>
      <c r="M77" s="220"/>
      <c r="N77" s="220"/>
      <c r="O77" s="221"/>
      <c r="P77" s="220"/>
      <c r="Q77" s="220"/>
      <c r="R77" s="220"/>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row>
    <row r="78" spans="1:54" ht="20.25" x14ac:dyDescent="0.35">
      <c r="A78" s="56"/>
      <c r="B78" s="81" t="s">
        <v>164</v>
      </c>
      <c r="C78" s="82"/>
      <c r="D78" s="83"/>
      <c r="E78" s="83"/>
      <c r="F78" s="83" t="s">
        <v>30</v>
      </c>
      <c r="G78" s="184">
        <v>0.19</v>
      </c>
      <c r="H78" s="84"/>
      <c r="I78" s="85">
        <f>I77*G78</f>
        <v>40.85</v>
      </c>
      <c r="L78" s="220"/>
      <c r="M78" s="220"/>
      <c r="N78" s="220"/>
      <c r="O78" s="221"/>
      <c r="P78" s="220"/>
      <c r="Q78" s="220"/>
      <c r="R78" s="220"/>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row>
    <row r="80" spans="1:54" ht="21" thickBot="1" x14ac:dyDescent="0.4">
      <c r="A80" s="86"/>
      <c r="B80" s="87" t="s">
        <v>148</v>
      </c>
      <c r="C80" s="88"/>
      <c r="D80" s="88"/>
      <c r="E80" s="88"/>
      <c r="F80" s="89"/>
      <c r="G80" s="90"/>
      <c r="H80" s="90"/>
      <c r="I80" s="91">
        <f>I77+I78</f>
        <v>255.85</v>
      </c>
      <c r="J80" s="92"/>
      <c r="K80" s="92"/>
      <c r="L80" s="92"/>
      <c r="M80" s="92"/>
      <c r="N80" s="93"/>
      <c r="O80" s="92"/>
      <c r="P80" s="92"/>
      <c r="Q80" s="92"/>
      <c r="R80" s="92"/>
    </row>
    <row r="81" spans="2:9" ht="17.25" thickTop="1" x14ac:dyDescent="0.3"/>
    <row r="83" spans="2:9" x14ac:dyDescent="0.3">
      <c r="B83" s="59" t="s">
        <v>47</v>
      </c>
    </row>
    <row r="84" spans="2:9" x14ac:dyDescent="0.3">
      <c r="B84" s="59"/>
    </row>
    <row r="85" spans="2:9" x14ac:dyDescent="0.3">
      <c r="B85" s="235" t="s">
        <v>199</v>
      </c>
      <c r="I85" s="55" t="s">
        <v>224</v>
      </c>
    </row>
    <row r="86" spans="2:9" x14ac:dyDescent="0.3">
      <c r="B86" s="235"/>
    </row>
    <row r="87" spans="2:9" x14ac:dyDescent="0.3">
      <c r="B87" s="56" t="s">
        <v>200</v>
      </c>
      <c r="I87" s="55" t="s">
        <v>224</v>
      </c>
    </row>
    <row r="89" spans="2:9" x14ac:dyDescent="0.3">
      <c r="B89" s="56" t="s">
        <v>257</v>
      </c>
      <c r="I89" s="55">
        <v>50</v>
      </c>
    </row>
    <row r="91" spans="2:9" x14ac:dyDescent="0.3">
      <c r="B91" s="56" t="s">
        <v>48</v>
      </c>
      <c r="I91" s="55">
        <v>40</v>
      </c>
    </row>
    <row r="93" spans="2:9" x14ac:dyDescent="0.3">
      <c r="B93" s="56" t="s">
        <v>55</v>
      </c>
      <c r="I93" s="55" t="s">
        <v>224</v>
      </c>
    </row>
    <row r="95" spans="2:9" x14ac:dyDescent="0.3">
      <c r="B95" s="56" t="s">
        <v>56</v>
      </c>
      <c r="I95" s="55" t="s">
        <v>224</v>
      </c>
    </row>
    <row r="96" spans="2:9" x14ac:dyDescent="0.3">
      <c r="B96" s="56" t="s">
        <v>49</v>
      </c>
    </row>
    <row r="98" spans="2:9" x14ac:dyDescent="0.3">
      <c r="B98" s="56" t="s">
        <v>256</v>
      </c>
      <c r="I98" s="55">
        <v>15</v>
      </c>
    </row>
    <row r="100" spans="2:9" x14ac:dyDescent="0.3">
      <c r="B100" s="56" t="s">
        <v>57</v>
      </c>
      <c r="I100" s="55" t="s">
        <v>224</v>
      </c>
    </row>
    <row r="102" spans="2:9" x14ac:dyDescent="0.3">
      <c r="B102" s="56" t="s">
        <v>172</v>
      </c>
      <c r="I102" s="55">
        <v>40</v>
      </c>
    </row>
    <row r="104" spans="2:9" x14ac:dyDescent="0.3">
      <c r="B104" s="56" t="s">
        <v>258</v>
      </c>
      <c r="I104" s="55">
        <v>40</v>
      </c>
    </row>
    <row r="106" spans="2:9" x14ac:dyDescent="0.3">
      <c r="B106" s="56" t="s">
        <v>50</v>
      </c>
      <c r="I106" s="55">
        <v>9</v>
      </c>
    </row>
    <row r="108" spans="2:9" x14ac:dyDescent="0.3">
      <c r="B108" s="56" t="s">
        <v>51</v>
      </c>
      <c r="I108" s="55">
        <v>17</v>
      </c>
    </row>
    <row r="110" spans="2:9" x14ac:dyDescent="0.3">
      <c r="B110" s="56" t="s">
        <v>52</v>
      </c>
      <c r="I110" s="55">
        <v>40</v>
      </c>
    </row>
    <row r="112" spans="2:9" x14ac:dyDescent="0.3">
      <c r="B112" s="56" t="s">
        <v>53</v>
      </c>
      <c r="I112" s="55" t="s">
        <v>224</v>
      </c>
    </row>
    <row r="114" spans="2:9" x14ac:dyDescent="0.3">
      <c r="B114" s="56" t="s">
        <v>54</v>
      </c>
      <c r="I114" s="55">
        <v>40</v>
      </c>
    </row>
    <row r="116" spans="2:9" x14ac:dyDescent="0.3">
      <c r="B116" s="56" t="s">
        <v>259</v>
      </c>
      <c r="I116" s="55">
        <v>15</v>
      </c>
    </row>
    <row r="118" spans="2:9" x14ac:dyDescent="0.3">
      <c r="B118" s="56" t="s">
        <v>260</v>
      </c>
      <c r="I118" s="55">
        <v>7</v>
      </c>
    </row>
    <row r="120" spans="2:9" x14ac:dyDescent="0.3">
      <c r="B120" s="59" t="s">
        <v>58</v>
      </c>
    </row>
    <row r="122" spans="2:9" x14ac:dyDescent="0.3">
      <c r="B122" s="56" t="s">
        <v>59</v>
      </c>
      <c r="I122" s="55" t="s">
        <v>224</v>
      </c>
    </row>
    <row r="124" spans="2:9" x14ac:dyDescent="0.3">
      <c r="B124" s="56" t="s">
        <v>60</v>
      </c>
      <c r="I124" s="55" t="s">
        <v>224</v>
      </c>
    </row>
    <row r="126" spans="2:9" x14ac:dyDescent="0.3">
      <c r="B126" s="56" t="s">
        <v>61</v>
      </c>
      <c r="I126" s="55" t="s">
        <v>224</v>
      </c>
    </row>
    <row r="128" spans="2:9" x14ac:dyDescent="0.3">
      <c r="B128" s="56" t="s">
        <v>62</v>
      </c>
      <c r="I128" s="55" t="s">
        <v>224</v>
      </c>
    </row>
  </sheetData>
  <sheetProtection algorithmName="SHA-512" hashValue="+I2atRNHhD1plp2OBNGgnj7bPXTDKwdbiy74+VyXnBFla4ntJVkoIM1Kv2ss3+7WO5/5nbZ2jFgjYU1iG1s62w==" saltValue="txZrMKK/cVxxhWPQsqM5VA==" spinCount="100000" sheet="1" objects="1" scenarios="1"/>
  <mergeCells count="2">
    <mergeCell ref="C37:D37"/>
    <mergeCell ref="C72:D72"/>
  </mergeCells>
  <dataValidations count="5">
    <dataValidation showInputMessage="1" showErrorMessage="1" sqref="E37:F37"/>
    <dataValidation type="whole" operator="greaterThan" allowBlank="1" showErrorMessage="1" error="Bitte geben Sie einen ganzzahligen Wert ein!" sqref="I5">
      <formula1>-1</formula1>
    </dataValidation>
    <dataValidation type="list" errorStyle="information" allowBlank="1" showDropDown="1" showInputMessage="1" showErrorMessage="1" errorTitle="ungültiger Wert" error="Bitte geben Sie ggf. ein &quot;x&quot; ein." prompt="Mit x auswählen" sqref="C43">
      <formula1>"x"</formula1>
    </dataValidation>
    <dataValidation type="list" allowBlank="1" showInputMessage="1" showErrorMessage="1" sqref="C72:D72">
      <formula1>"Lastschrift,Überweisung"</formula1>
    </dataValidation>
    <dataValidation type="list" showInputMessage="1" showErrorMessage="1" sqref="C37:D37">
      <formula1>$E$38:$E$41</formula1>
    </dataValidation>
  </dataValidations>
  <pageMargins left="0.70866141732283472" right="0.70866141732283472" top="0.78740157480314965" bottom="0.78740157480314965" header="0.31496062992125984" footer="0.31496062992125984"/>
  <pageSetup paperSize="8" scale="57"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 C (Fibu)'!#REF!</xm:f>
          </x14:formula1>
          <xm:sqref>C75:E75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outlinePr summaryBelow="0" summaryRight="0"/>
    <pageSetUpPr fitToPage="1"/>
  </sheetPr>
  <dimension ref="B1:O91"/>
  <sheetViews>
    <sheetView showGridLines="0" showRowColHeaders="0" topLeftCell="B11" workbookViewId="0">
      <selection activeCell="K10" sqref="K10"/>
    </sheetView>
  </sheetViews>
  <sheetFormatPr baseColWidth="10" defaultColWidth="11" defaultRowHeight="16.5" outlineLevelRow="1" outlineLevelCol="1" x14ac:dyDescent="0.3"/>
  <cols>
    <col min="1" max="1" width="2.75" style="101" customWidth="1"/>
    <col min="2" max="2" width="44.25" style="101" customWidth="1"/>
    <col min="3" max="3" width="2.875" style="108" customWidth="1"/>
    <col min="4" max="4" width="28.125" style="108" customWidth="1" collapsed="1"/>
    <col min="5" max="5" width="24.75" style="108" hidden="1" customWidth="1" outlineLevel="1"/>
    <col min="6" max="6" width="12.375" style="105" hidden="1" customWidth="1" outlineLevel="1"/>
    <col min="7" max="8" width="12.375" style="223" hidden="1" customWidth="1" outlineLevel="1"/>
    <col min="9" max="9" width="12.375" style="106" hidden="1" customWidth="1" outlineLevel="1"/>
    <col min="10" max="10" width="41.25" style="107" customWidth="1" collapsed="1"/>
    <col min="11" max="14" width="11" style="101"/>
    <col min="15" max="15" width="11" style="102"/>
    <col min="16" max="16384" width="11" style="101"/>
  </cols>
  <sheetData>
    <row r="1" spans="2:15" x14ac:dyDescent="0.3">
      <c r="J1" s="163">
        <f>Stammdaten!D2</f>
        <v>45003</v>
      </c>
    </row>
    <row r="2" spans="2:15" s="94" customFormat="1" ht="20.25" customHeight="1" x14ac:dyDescent="0.35">
      <c r="B2" s="94" t="str">
        <f>Finanzbuchführung!B2</f>
        <v>99999 Test</v>
      </c>
      <c r="C2" s="95"/>
      <c r="D2" s="95"/>
      <c r="E2" s="95"/>
      <c r="F2" s="96"/>
      <c r="G2" s="97"/>
      <c r="H2" s="97"/>
      <c r="I2" s="98"/>
      <c r="J2" s="99"/>
      <c r="O2" s="100"/>
    </row>
    <row r="3" spans="2:15" ht="25.5" x14ac:dyDescent="0.5">
      <c r="B3" s="322" t="str">
        <f>CONCATENATE(Stammdaten!D6," für die Erstellung Ihres Jahresabschlusses")</f>
        <v>Honorarangebot für die Erstellung Ihres Jahresabschlusses</v>
      </c>
      <c r="C3" s="322"/>
      <c r="D3" s="322"/>
      <c r="E3" s="322"/>
      <c r="F3" s="322"/>
      <c r="G3" s="322"/>
      <c r="H3" s="322"/>
      <c r="I3" s="322"/>
      <c r="J3" s="322"/>
    </row>
    <row r="4" spans="2:15" ht="19.5" customHeight="1" x14ac:dyDescent="0.5">
      <c r="B4" s="103" t="str">
        <f>CONCATENATE("für das Wirtschaftsjahr ",Stammdaten!D4-1)</f>
        <v>für das Wirtschaftsjahr 2022</v>
      </c>
      <c r="C4" s="104"/>
      <c r="D4" s="104"/>
      <c r="E4" s="104"/>
    </row>
    <row r="5" spans="2:15" ht="25.5" x14ac:dyDescent="0.5">
      <c r="B5" s="103"/>
      <c r="C5" s="104"/>
      <c r="D5" s="104"/>
      <c r="E5" s="104"/>
    </row>
    <row r="6" spans="2:15" x14ac:dyDescent="0.3">
      <c r="B6" s="101" t="s">
        <v>66</v>
      </c>
      <c r="J6" s="294" t="s">
        <v>75</v>
      </c>
    </row>
    <row r="8" spans="2:15" x14ac:dyDescent="0.3">
      <c r="B8" s="101" t="s">
        <v>64</v>
      </c>
      <c r="J8" s="173">
        <v>50000</v>
      </c>
    </row>
    <row r="9" spans="2:15" ht="15.75" customHeight="1" x14ac:dyDescent="0.3"/>
    <row r="10" spans="2:15" x14ac:dyDescent="0.3">
      <c r="B10" s="101" t="s">
        <v>65</v>
      </c>
      <c r="J10" s="173">
        <v>500000</v>
      </c>
    </row>
    <row r="11" spans="2:15" collapsed="1" x14ac:dyDescent="0.3">
      <c r="B11" s="101" t="s">
        <v>221</v>
      </c>
      <c r="J11" s="300">
        <f>J10/11</f>
        <v>45454.545454545456</v>
      </c>
    </row>
    <row r="12" spans="2:15" hidden="1" outlineLevel="1" x14ac:dyDescent="0.3">
      <c r="B12" s="101" t="s">
        <v>1</v>
      </c>
      <c r="J12" s="107">
        <f>IF(J6="Einnahmen-Überschuss-Rechnung",J10,(J8+J10)/2)</f>
        <v>275000</v>
      </c>
    </row>
    <row r="13" spans="2:15" hidden="1" outlineLevel="1" x14ac:dyDescent="0.3">
      <c r="B13" s="101" t="s">
        <v>5</v>
      </c>
      <c r="J13" s="109">
        <f>MATCH(J12-1,'Tab B (Abschluss)'!A4:A65,1)</f>
        <v>29</v>
      </c>
    </row>
    <row r="14" spans="2:15" hidden="1" outlineLevel="1" x14ac:dyDescent="0.3">
      <c r="B14" s="101" t="s">
        <v>80</v>
      </c>
      <c r="J14" s="107">
        <f>IF(J12&lt;50000000,INDEX('Tab B (Abschluss)'!A5:B65,J13,2),0)</f>
        <v>605</v>
      </c>
    </row>
    <row r="15" spans="2:15" hidden="1" outlineLevel="1" x14ac:dyDescent="0.3">
      <c r="B15" s="101" t="s">
        <v>81</v>
      </c>
      <c r="J15" s="107">
        <f>IF(AND(J12&gt;=50000000,J12&lt;125000000),ROUNDUP((J12-'Tab B (Abschluss)'!A65)/5000000,0)*'Tab B (Abschluss)'!B66+'Tab B (Abschluss)'!B65,0)</f>
        <v>0</v>
      </c>
    </row>
    <row r="16" spans="2:15" hidden="1" outlineLevel="1" x14ac:dyDescent="0.3">
      <c r="B16" s="101" t="s">
        <v>82</v>
      </c>
      <c r="J16" s="107">
        <f>IF(AND(J12&gt;=125000000,J12&lt;250000000),ROUNDUP((J12-'Tab B (Abschluss)'!A67)/12500000,0)*'Tab B (Abschluss)'!B68+'Tab B (Abschluss)'!B67,0)</f>
        <v>0</v>
      </c>
    </row>
    <row r="17" spans="2:10" hidden="1" outlineLevel="1" x14ac:dyDescent="0.3">
      <c r="B17" s="101" t="s">
        <v>83</v>
      </c>
      <c r="J17" s="107">
        <f>IF(J12&gt;=250000000,ROUNDUP((J12-'Tab B (Abschluss)'!A69)/25000000,0)*'Tab B (Abschluss)'!B70+'Tab B (Abschluss)'!B69,0)</f>
        <v>0</v>
      </c>
    </row>
    <row r="18" spans="2:10" hidden="1" outlineLevel="1" x14ac:dyDescent="0.3"/>
    <row r="19" spans="2:10" hidden="1" outlineLevel="1" x14ac:dyDescent="0.3">
      <c r="B19" s="101" t="s">
        <v>2</v>
      </c>
      <c r="J19" s="107">
        <f>SUM(J14:J17)</f>
        <v>605</v>
      </c>
    </row>
    <row r="20" spans="2:10" hidden="1" outlineLevel="1" x14ac:dyDescent="0.3">
      <c r="B20" s="101" t="s">
        <v>77</v>
      </c>
      <c r="J20" s="233">
        <f>VLOOKUP(J6,'Auswahlfelder Abschluss'!A2:E6,2,0)</f>
        <v>50</v>
      </c>
    </row>
    <row r="21" spans="2:10" hidden="1" outlineLevel="1" x14ac:dyDescent="0.3">
      <c r="B21" s="111" t="s">
        <v>97</v>
      </c>
      <c r="J21" s="240">
        <f>J19*J20/10</f>
        <v>3025</v>
      </c>
    </row>
    <row r="22" spans="2:10" hidden="1" outlineLevel="1" x14ac:dyDescent="0.3">
      <c r="B22" s="111" t="s">
        <v>84</v>
      </c>
      <c r="J22" s="240">
        <v>20</v>
      </c>
    </row>
    <row r="23" spans="2:10" hidden="1" outlineLevel="1" x14ac:dyDescent="0.3"/>
    <row r="24" spans="2:10" hidden="1" outlineLevel="1" x14ac:dyDescent="0.3">
      <c r="B24" s="111" t="s">
        <v>209</v>
      </c>
    </row>
    <row r="25" spans="2:10" hidden="1" outlineLevel="1" x14ac:dyDescent="0.3">
      <c r="B25" s="101" t="s">
        <v>5</v>
      </c>
      <c r="J25" s="109">
        <f>MATCH(J11-1,'Tab A (Beratung)'!$A$4:$A$53,1)</f>
        <v>27</v>
      </c>
    </row>
    <row r="26" spans="2:10" hidden="1" outlineLevel="1" x14ac:dyDescent="0.3">
      <c r="B26" s="101" t="s">
        <v>101</v>
      </c>
      <c r="J26" s="107">
        <f>IF(J11&lt;600000,INDEX('Tab A (Beratung)'!$A$5:$B$53,J25,2),0)</f>
        <v>1230</v>
      </c>
    </row>
    <row r="27" spans="2:10" hidden="1" outlineLevel="1" x14ac:dyDescent="0.3">
      <c r="B27" s="101" t="s">
        <v>102</v>
      </c>
      <c r="J27" s="107">
        <f>IF(AND(J11&gt;=600000,J11&lt;5000000),ROUNDUP((J11-'Tab A (Beratung)'!$A$53)/50000,0)*'Tab A (Beratung)'!$B$54+'Tab A (Beratung)'!$B$53,0)</f>
        <v>0</v>
      </c>
    </row>
    <row r="28" spans="2:10" hidden="1" outlineLevel="1" x14ac:dyDescent="0.3">
      <c r="B28" s="101" t="s">
        <v>103</v>
      </c>
      <c r="J28" s="107">
        <f>IF(AND(J11&gt;=5000000,J11&lt;25000000),ROUNDUP((J11-'Tab A (Beratung)'!$A$55)/50000,0)*'Tab A (Beratung)'!$B$56+'Tab A (Beratung)'!$B$55,0)</f>
        <v>0</v>
      </c>
    </row>
    <row r="29" spans="2:10" hidden="1" outlineLevel="1" x14ac:dyDescent="0.3">
      <c r="B29" s="101" t="s">
        <v>104</v>
      </c>
      <c r="J29" s="107">
        <f>IF(J10&gt;=25000000,ROUNDUP((J10-'Tab A (Beratung)'!$A$57)/50000,0)*'Tab A (Beratung)'!$B$58+'Tab A (Beratung)'!$B$57,0)</f>
        <v>0</v>
      </c>
    </row>
    <row r="30" spans="2:10" hidden="1" outlineLevel="1" x14ac:dyDescent="0.3"/>
    <row r="31" spans="2:10" hidden="1" outlineLevel="1" x14ac:dyDescent="0.3">
      <c r="B31" s="101" t="s">
        <v>2</v>
      </c>
      <c r="J31" s="107">
        <f>SUM(J26:J29)</f>
        <v>1230</v>
      </c>
    </row>
    <row r="32" spans="2:10" hidden="1" outlineLevel="1" x14ac:dyDescent="0.3">
      <c r="B32" s="101" t="s">
        <v>206</v>
      </c>
      <c r="J32" s="239">
        <f>VLOOKUP(J6,'Auswahlfelder Abschluss'!A2:E6,4,0)</f>
        <v>5</v>
      </c>
    </row>
    <row r="33" spans="2:10" hidden="1" outlineLevel="1" x14ac:dyDescent="0.3">
      <c r="J33" s="101"/>
    </row>
    <row r="34" spans="2:10" hidden="1" outlineLevel="1" x14ac:dyDescent="0.3">
      <c r="B34" s="111" t="s">
        <v>207</v>
      </c>
      <c r="J34" s="240">
        <f>J31*J32/10</f>
        <v>615</v>
      </c>
    </row>
    <row r="35" spans="2:10" hidden="1" outlineLevel="1" x14ac:dyDescent="0.3">
      <c r="J35" s="101"/>
    </row>
    <row r="36" spans="2:10" collapsed="1" x14ac:dyDescent="0.3">
      <c r="B36" s="101" t="s">
        <v>205</v>
      </c>
      <c r="J36" s="173">
        <v>65000</v>
      </c>
    </row>
    <row r="37" spans="2:10" hidden="1" outlineLevel="1" x14ac:dyDescent="0.3"/>
    <row r="38" spans="2:10" hidden="1" outlineLevel="1" x14ac:dyDescent="0.3">
      <c r="B38" s="111" t="s">
        <v>210</v>
      </c>
    </row>
    <row r="39" spans="2:10" hidden="1" outlineLevel="1" x14ac:dyDescent="0.3">
      <c r="B39" s="101" t="s">
        <v>5</v>
      </c>
      <c r="J39" s="109">
        <f>MATCH(J36-1,'Tab A (Beratung)'!$A$4:$A$53,1)</f>
        <v>28</v>
      </c>
    </row>
    <row r="40" spans="2:10" hidden="1" outlineLevel="1" x14ac:dyDescent="0.3">
      <c r="B40" s="101" t="s">
        <v>101</v>
      </c>
      <c r="J40" s="107">
        <f>IF(J36&lt;600000,INDEX('Tab A (Beratung)'!$A$5:$B$53,J39,2),0)</f>
        <v>1320</v>
      </c>
    </row>
    <row r="41" spans="2:10" hidden="1" outlineLevel="1" x14ac:dyDescent="0.3">
      <c r="B41" s="101" t="s">
        <v>102</v>
      </c>
      <c r="J41" s="107">
        <f>IF(AND(J36&gt;=600000,J36&lt;5000000),ROUNDUP((J36-'Tab A (Beratung)'!$A$53)/50000,0)*'Tab A (Beratung)'!$B$54+'Tab A (Beratung)'!$B$53,0)</f>
        <v>0</v>
      </c>
    </row>
    <row r="42" spans="2:10" hidden="1" outlineLevel="1" x14ac:dyDescent="0.3">
      <c r="B42" s="101" t="s">
        <v>103</v>
      </c>
      <c r="J42" s="107">
        <f>IF(AND(J36&gt;=5000000,J36&lt;25000000),ROUNDUP((J36-'Tab A (Beratung)'!$A$55)/50000,0)*'Tab A (Beratung)'!$B$56+'Tab A (Beratung)'!$B$55,0)</f>
        <v>0</v>
      </c>
    </row>
    <row r="43" spans="2:10" hidden="1" outlineLevel="1" x14ac:dyDescent="0.3">
      <c r="B43" s="101" t="s">
        <v>104</v>
      </c>
      <c r="J43" s="107">
        <f>IF(J36&gt;=25000000,ROUNDUP((J36-'Tab A (Beratung)'!$A$57)/50000,0)*'Tab A (Beratung)'!$B$58+'Tab A (Beratung)'!$B$57,0)</f>
        <v>0</v>
      </c>
    </row>
    <row r="44" spans="2:10" hidden="1" outlineLevel="1" x14ac:dyDescent="0.3"/>
    <row r="45" spans="2:10" hidden="1" outlineLevel="1" x14ac:dyDescent="0.3">
      <c r="B45" s="101" t="s">
        <v>2</v>
      </c>
      <c r="J45" s="107">
        <f>SUM(J40:J43)</f>
        <v>1320</v>
      </c>
    </row>
    <row r="46" spans="2:10" hidden="1" outlineLevel="1" x14ac:dyDescent="0.3">
      <c r="B46" s="101" t="s">
        <v>208</v>
      </c>
      <c r="J46" s="110">
        <f>VLOOKUP(J6,'Auswahlfelder Abschluss'!A2:E6,3,0)</f>
        <v>3</v>
      </c>
    </row>
    <row r="47" spans="2:10" hidden="1" outlineLevel="1" x14ac:dyDescent="0.3">
      <c r="J47" s="110"/>
    </row>
    <row r="48" spans="2:10" hidden="1" outlineLevel="1" x14ac:dyDescent="0.3">
      <c r="B48" s="111" t="s">
        <v>222</v>
      </c>
      <c r="J48" s="240">
        <f>J45*J46/10*2</f>
        <v>792</v>
      </c>
    </row>
    <row r="49" spans="2:15" x14ac:dyDescent="0.3">
      <c r="J49" s="110"/>
    </row>
    <row r="50" spans="2:15" x14ac:dyDescent="0.3">
      <c r="B50" s="111" t="s">
        <v>79</v>
      </c>
      <c r="J50" s="110"/>
    </row>
    <row r="51" spans="2:15" ht="9" customHeight="1" x14ac:dyDescent="0.3">
      <c r="J51" s="110"/>
    </row>
    <row r="52" spans="2:15" ht="175.5" customHeight="1" x14ac:dyDescent="0.3">
      <c r="B52" s="112" t="str">
        <f>IF(J10&gt;0,VLOOKUP(J6,'Auswahlfelder Abschluss'!A2:E6,5,0),"")</f>
        <v>- Bilanz
- Gewinn- und Verlustrechnung
- Kontennachweise zu Bilanz und GuV
- Anlagenspiegel
- Steuererklärungen (USt, GewSt; KSt)
- Übermittlung E-Bilanz an das Finanzamt (Steuerbilanz)
- Anhang
- Offenlegung im Bundesanzeiger</v>
      </c>
      <c r="J52" s="110"/>
    </row>
    <row r="53" spans="2:15" s="113" customFormat="1" ht="17.25" x14ac:dyDescent="0.3">
      <c r="B53" s="113" t="s">
        <v>3</v>
      </c>
      <c r="C53" s="114"/>
      <c r="D53" s="114"/>
      <c r="E53" s="114"/>
      <c r="F53" s="115"/>
      <c r="G53" s="116"/>
      <c r="H53" s="116"/>
      <c r="I53" s="117"/>
      <c r="J53" s="118">
        <f>IF(J10&gt;0,J21+J22+J34+J48,0)</f>
        <v>4452</v>
      </c>
      <c r="O53" s="119"/>
    </row>
    <row r="54" spans="2:15" x14ac:dyDescent="0.3">
      <c r="B54" s="120"/>
      <c r="C54" s="121"/>
      <c r="D54" s="121"/>
      <c r="E54" s="121"/>
      <c r="F54" s="122"/>
      <c r="G54" s="123"/>
      <c r="H54" s="123"/>
      <c r="I54" s="124"/>
      <c r="J54" s="125"/>
    </row>
    <row r="55" spans="2:15" ht="20.25" x14ac:dyDescent="0.35">
      <c r="B55" s="94" t="s">
        <v>31</v>
      </c>
      <c r="E55" s="229" t="s">
        <v>168</v>
      </c>
      <c r="F55" s="224" t="s">
        <v>167</v>
      </c>
      <c r="G55" s="228" t="s">
        <v>169</v>
      </c>
      <c r="H55" s="228" t="s">
        <v>170</v>
      </c>
      <c r="I55" s="225" t="s">
        <v>113</v>
      </c>
    </row>
    <row r="56" spans="2:15" x14ac:dyDescent="0.3">
      <c r="E56" s="104"/>
      <c r="F56" s="224"/>
      <c r="G56" s="227"/>
      <c r="H56" s="227"/>
      <c r="I56" s="226"/>
    </row>
    <row r="57" spans="2:15" x14ac:dyDescent="0.3">
      <c r="B57" s="101" t="s">
        <v>85</v>
      </c>
      <c r="C57" s="175"/>
      <c r="F57" s="217"/>
      <c r="G57" s="232"/>
      <c r="H57" s="233">
        <v>4</v>
      </c>
      <c r="I57" s="230">
        <v>1</v>
      </c>
      <c r="J57" s="107" t="str">
        <f>IF(C57="x",MROUND(F57+G57*J$21+H57*0.1*J$19,I57),"--")</f>
        <v>--</v>
      </c>
    </row>
    <row r="58" spans="2:15" x14ac:dyDescent="0.3">
      <c r="H58" s="126"/>
    </row>
    <row r="59" spans="2:15" x14ac:dyDescent="0.3">
      <c r="B59" s="101" t="s">
        <v>86</v>
      </c>
      <c r="C59" s="175"/>
      <c r="F59" s="217"/>
      <c r="G59" s="232"/>
      <c r="H59" s="233">
        <v>4</v>
      </c>
      <c r="I59" s="230">
        <v>1</v>
      </c>
      <c r="J59" s="107" t="str">
        <f>IF(C59="x",MROUND(F59+G59*J$21+H59*0.1*J$19,I59),"--")</f>
        <v>--</v>
      </c>
    </row>
    <row r="60" spans="2:15" x14ac:dyDescent="0.3">
      <c r="H60" s="126"/>
    </row>
    <row r="61" spans="2:15" x14ac:dyDescent="0.3">
      <c r="B61" s="101" t="s">
        <v>204</v>
      </c>
      <c r="C61" s="175"/>
      <c r="F61" s="217"/>
      <c r="G61" s="232"/>
      <c r="H61" s="233">
        <v>5</v>
      </c>
      <c r="I61" s="230">
        <v>1</v>
      </c>
      <c r="J61" s="107" t="str">
        <f>IF(C61="x",MROUND(F61+G61*J$21+H61*0.1*J$19,I61),"--")</f>
        <v>--</v>
      </c>
    </row>
    <row r="62" spans="2:15" x14ac:dyDescent="0.3">
      <c r="H62" s="126"/>
    </row>
    <row r="63" spans="2:15" x14ac:dyDescent="0.3">
      <c r="B63" s="101" t="s">
        <v>87</v>
      </c>
      <c r="C63" s="175"/>
      <c r="F63" s="217">
        <v>200</v>
      </c>
      <c r="G63" s="232"/>
      <c r="H63" s="233"/>
      <c r="I63" s="230">
        <v>1</v>
      </c>
      <c r="J63" s="107" t="str">
        <f>IF(C63="x",MROUND(F63+G63*J$21+H63*0.1*J$19,I63),"--")</f>
        <v>--</v>
      </c>
    </row>
    <row r="64" spans="2:15" x14ac:dyDescent="0.3">
      <c r="H64" s="126"/>
    </row>
    <row r="65" spans="2:10" x14ac:dyDescent="0.3">
      <c r="B65" s="101" t="s">
        <v>88</v>
      </c>
      <c r="C65" s="175"/>
      <c r="F65" s="217">
        <v>200</v>
      </c>
      <c r="G65" s="232"/>
      <c r="H65" s="233"/>
      <c r="I65" s="230">
        <v>1</v>
      </c>
      <c r="J65" s="107" t="str">
        <f>IF(C65="x",MROUND(F65+G65*J$21+H65*0.1*J$19,I65),"--")</f>
        <v>--</v>
      </c>
    </row>
    <row r="66" spans="2:10" x14ac:dyDescent="0.3">
      <c r="H66" s="126"/>
    </row>
    <row r="67" spans="2:10" x14ac:dyDescent="0.3">
      <c r="B67" s="101" t="s">
        <v>89</v>
      </c>
      <c r="C67" s="321" t="s">
        <v>41</v>
      </c>
      <c r="D67" s="321"/>
      <c r="E67" s="241"/>
      <c r="F67" s="234"/>
      <c r="G67" s="232"/>
      <c r="H67" s="233">
        <v>2</v>
      </c>
      <c r="I67" s="230">
        <v>1</v>
      </c>
      <c r="J67" s="107" t="str">
        <f>IF(C67&lt;11,MROUND(C67*(F67+G67*J$21+H67*0.1*J$19),I67),"--")</f>
        <v>--</v>
      </c>
    </row>
    <row r="68" spans="2:10" x14ac:dyDescent="0.3">
      <c r="C68" s="128"/>
      <c r="D68" s="128"/>
      <c r="E68" s="128"/>
      <c r="H68" s="126"/>
    </row>
    <row r="69" spans="2:10" x14ac:dyDescent="0.3">
      <c r="B69" s="101" t="s">
        <v>90</v>
      </c>
      <c r="C69" s="321" t="s">
        <v>41</v>
      </c>
      <c r="D69" s="321"/>
      <c r="E69" s="241"/>
      <c r="F69" s="234"/>
      <c r="G69" s="232"/>
      <c r="H69" s="233">
        <v>2</v>
      </c>
      <c r="I69" s="230">
        <v>1</v>
      </c>
      <c r="J69" s="107" t="str">
        <f>IF(C69&lt;11,MROUND(C69*(F69+G69*J$21+H69*0.1*J$19),I69),"--")</f>
        <v>--</v>
      </c>
    </row>
    <row r="70" spans="2:10" x14ac:dyDescent="0.3">
      <c r="H70" s="126"/>
    </row>
    <row r="71" spans="2:10" x14ac:dyDescent="0.3">
      <c r="B71" s="101" t="s">
        <v>247</v>
      </c>
      <c r="C71" s="175"/>
      <c r="F71" s="217"/>
      <c r="G71" s="232">
        <v>-0.1</v>
      </c>
      <c r="H71" s="233"/>
      <c r="I71" s="230">
        <v>-1</v>
      </c>
      <c r="J71" s="107" t="str">
        <f>IF(C71="x",MROUND(F71+G71*J$21+H71*0.1*J$19,I71),"--")</f>
        <v>--</v>
      </c>
    </row>
    <row r="72" spans="2:10" x14ac:dyDescent="0.3">
      <c r="H72" s="126"/>
    </row>
    <row r="73" spans="2:10" x14ac:dyDescent="0.3">
      <c r="B73" s="101" t="s">
        <v>94</v>
      </c>
      <c r="C73" s="175" t="s">
        <v>249</v>
      </c>
      <c r="F73" s="217"/>
      <c r="G73" s="232">
        <v>-0.1</v>
      </c>
      <c r="H73" s="233"/>
      <c r="I73" s="230">
        <v>-1</v>
      </c>
      <c r="J73" s="107">
        <f>IF(C73="x",MROUND(F73+G73*J$21+H73*0.1*J$19,I73),"--")</f>
        <v>-303</v>
      </c>
    </row>
    <row r="74" spans="2:10" x14ac:dyDescent="0.3">
      <c r="C74" s="128"/>
      <c r="D74" s="128"/>
      <c r="E74" s="128"/>
      <c r="H74" s="126"/>
    </row>
    <row r="75" spans="2:10" collapsed="1" x14ac:dyDescent="0.3">
      <c r="B75" s="101" t="s">
        <v>91</v>
      </c>
      <c r="C75" s="321" t="s">
        <v>41</v>
      </c>
      <c r="D75" s="321"/>
      <c r="E75" s="241"/>
      <c r="F75" s="127">
        <f>VLOOKUP(C75,E76:H78,2,0)</f>
        <v>0</v>
      </c>
      <c r="G75" s="223">
        <f>VLOOKUP(C75,E76:H78,3,0)</f>
        <v>0</v>
      </c>
      <c r="H75" s="126">
        <f>VLOOKUP(C75,E76:H78,4,0)</f>
        <v>0</v>
      </c>
      <c r="I75" s="230">
        <v>1</v>
      </c>
      <c r="J75" s="107" t="str">
        <f>IF(C75&lt;&gt;"keine",MROUND(F75+G75*J$21+H75*0.1*J$19,I75),"--")</f>
        <v>--</v>
      </c>
    </row>
    <row r="76" spans="2:10" hidden="1" outlineLevel="1" x14ac:dyDescent="0.3">
      <c r="E76" s="242" t="s">
        <v>41</v>
      </c>
      <c r="F76" s="217"/>
      <c r="G76" s="218"/>
      <c r="H76" s="243"/>
    </row>
    <row r="77" spans="2:10" hidden="1" outlineLevel="1" x14ac:dyDescent="0.3">
      <c r="E77" s="216" t="s">
        <v>95</v>
      </c>
      <c r="F77" s="217">
        <v>2</v>
      </c>
      <c r="G77" s="218">
        <v>0.27500000000000002</v>
      </c>
      <c r="H77" s="243">
        <v>2</v>
      </c>
    </row>
    <row r="78" spans="2:10" hidden="1" outlineLevel="1" x14ac:dyDescent="0.3">
      <c r="E78" s="216" t="s">
        <v>96</v>
      </c>
      <c r="F78" s="217">
        <v>1</v>
      </c>
      <c r="G78" s="218">
        <v>0.2</v>
      </c>
      <c r="H78" s="243">
        <v>1</v>
      </c>
    </row>
    <row r="79" spans="2:10" x14ac:dyDescent="0.3">
      <c r="H79" s="126"/>
    </row>
    <row r="80" spans="2:10" x14ac:dyDescent="0.3">
      <c r="B80" s="101" t="s">
        <v>92</v>
      </c>
      <c r="C80" s="175"/>
      <c r="F80" s="217">
        <v>85</v>
      </c>
      <c r="G80" s="232"/>
      <c r="H80" s="233"/>
      <c r="I80" s="230">
        <v>1</v>
      </c>
      <c r="J80" s="107" t="str">
        <f>IF(C80="x",MROUND(F80+G80*J$21+H80*0.1*J$19,I80),"--")</f>
        <v>--</v>
      </c>
    </row>
    <row r="81" spans="2:15" x14ac:dyDescent="0.3">
      <c r="H81" s="126"/>
    </row>
    <row r="82" spans="2:15" x14ac:dyDescent="0.3">
      <c r="B82" s="101" t="s">
        <v>93</v>
      </c>
      <c r="C82" s="175"/>
      <c r="F82" s="217">
        <v>30</v>
      </c>
      <c r="G82" s="232"/>
      <c r="H82" s="233"/>
      <c r="I82" s="230">
        <v>1</v>
      </c>
      <c r="J82" s="107" t="str">
        <f>IF(C82="x",MROUND(F82+G82*J$21+H82*0.1*J$14,I82),"--")</f>
        <v>--</v>
      </c>
    </row>
    <row r="83" spans="2:15" x14ac:dyDescent="0.3">
      <c r="H83" s="126"/>
    </row>
    <row r="84" spans="2:15" x14ac:dyDescent="0.3">
      <c r="B84" s="101" t="s">
        <v>15</v>
      </c>
      <c r="C84" s="321" t="s">
        <v>27</v>
      </c>
      <c r="D84" s="321"/>
      <c r="E84" s="241"/>
      <c r="F84" s="217">
        <v>5</v>
      </c>
      <c r="G84" s="231" t="s">
        <v>174</v>
      </c>
      <c r="H84" s="126"/>
      <c r="J84" s="107" t="str">
        <f>IF(C84="Überweisung",F84,"--")</f>
        <v>--</v>
      </c>
    </row>
    <row r="85" spans="2:15" ht="9" customHeight="1" x14ac:dyDescent="0.3"/>
    <row r="86" spans="2:15" x14ac:dyDescent="0.3">
      <c r="B86" s="120"/>
      <c r="C86" s="121"/>
      <c r="D86" s="121"/>
      <c r="E86" s="121"/>
      <c r="F86" s="122"/>
      <c r="G86" s="123"/>
      <c r="H86" s="123"/>
      <c r="I86" s="124"/>
      <c r="J86" s="125"/>
    </row>
    <row r="87" spans="2:15" x14ac:dyDescent="0.3">
      <c r="B87" s="101" t="s">
        <v>29</v>
      </c>
      <c r="J87" s="107">
        <f>SUM(J53:J84)</f>
        <v>4149</v>
      </c>
    </row>
    <row r="88" spans="2:15" x14ac:dyDescent="0.3">
      <c r="B88" s="129" t="s">
        <v>164</v>
      </c>
      <c r="C88" s="130"/>
      <c r="D88" s="131"/>
      <c r="E88" s="131"/>
      <c r="F88" s="131" t="s">
        <v>30</v>
      </c>
      <c r="G88" s="232">
        <v>0.19</v>
      </c>
      <c r="H88" s="132"/>
      <c r="I88" s="133"/>
      <c r="J88" s="134">
        <f>J87*G88</f>
        <v>788.31000000000006</v>
      </c>
    </row>
    <row r="90" spans="2:15" s="141" customFormat="1" ht="21" thickBot="1" x14ac:dyDescent="0.4">
      <c r="B90" s="135" t="s">
        <v>165</v>
      </c>
      <c r="C90" s="136"/>
      <c r="D90" s="136"/>
      <c r="E90" s="136"/>
      <c r="F90" s="137"/>
      <c r="G90" s="138"/>
      <c r="H90" s="138"/>
      <c r="I90" s="139"/>
      <c r="J90" s="140">
        <f>J87+J88</f>
        <v>4937.3100000000004</v>
      </c>
      <c r="O90" s="142"/>
    </row>
    <row r="91" spans="2:15" ht="17.25" thickTop="1" x14ac:dyDescent="0.3"/>
  </sheetData>
  <sheetProtection algorithmName="SHA-512" hashValue="Oxkzq+dNt6dudF1SJ81f+WUOcrPqnN72MjOpwtSmIjQ2f25iRZ34jkJ83qTb3kwV8QjIru2Qggq+bMTEtLWfGA==" saltValue="KyY98IbmauTzoT0zOmpOMQ==" spinCount="100000" sheet="1" objects="1" scenarios="1"/>
  <mergeCells count="5">
    <mergeCell ref="C84:D84"/>
    <mergeCell ref="B3:J3"/>
    <mergeCell ref="C69:D69"/>
    <mergeCell ref="C67:D67"/>
    <mergeCell ref="C75:D75"/>
  </mergeCells>
  <dataValidations count="7">
    <dataValidation type="list" showInputMessage="1" showErrorMessage="1" sqref="C69:D69">
      <formula1>"keine,1,2,3,4,5,6,7,8,9,10"</formula1>
    </dataValidation>
    <dataValidation showInputMessage="1" showErrorMessage="1" sqref="F69"/>
    <dataValidation type="whole" operator="greaterThan" allowBlank="1" showErrorMessage="1" error="Bitte geben Sie einen ganzzahligen Wert ein!" sqref="J10 J8">
      <formula1>-1</formula1>
    </dataValidation>
    <dataValidation type="list" allowBlank="1" showInputMessage="1" showErrorMessage="1" sqref="C67:D67">
      <formula1>"keine,1,2,3,4,5,6,7,8,9,10"</formula1>
    </dataValidation>
    <dataValidation type="list" allowBlank="1" showInputMessage="1" showErrorMessage="1" sqref="C84:D84">
      <formula1>"Lastschrift,Überweisung"</formula1>
    </dataValidation>
    <dataValidation type="list" allowBlank="1" showInputMessage="1" showErrorMessage="1" sqref="C75:D75">
      <formula1>$E$76:$E$78</formula1>
    </dataValidation>
    <dataValidation type="decimal" allowBlank="1" showInputMessage="1" showErrorMessage="1" sqref="J49:J52">
      <formula1>2</formula1>
      <formula2>12</formula2>
    </dataValidation>
  </dataValidations>
  <pageMargins left="0.70866141732283472" right="0.70866141732283472" top="0.78740157480314965" bottom="0.78740157480314965" header="0.31496062992125984" footer="0.31496062992125984"/>
  <pageSetup paperSize="9" scale="70" fitToHeight="0"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'Auswahlfelder Abschluss'!$A$2:$A$6</xm:f>
          </x14:formula1>
          <xm:sqref>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5" sqref="D5"/>
    </sheetView>
  </sheetViews>
  <sheetFormatPr baseColWidth="10" defaultRowHeight="16.5" x14ac:dyDescent="0.3"/>
  <cols>
    <col min="1" max="1" width="31.25" customWidth="1"/>
    <col min="2" max="4" width="25.5" style="238" customWidth="1"/>
    <col min="5" max="5" width="62.875" style="10" customWidth="1"/>
  </cols>
  <sheetData>
    <row r="1" spans="1:5" x14ac:dyDescent="0.3">
      <c r="A1" s="8" t="s">
        <v>72</v>
      </c>
      <c r="B1" s="236" t="s">
        <v>201</v>
      </c>
      <c r="C1" s="236" t="s">
        <v>202</v>
      </c>
      <c r="D1" s="236" t="s">
        <v>203</v>
      </c>
      <c r="E1" s="12" t="s">
        <v>78</v>
      </c>
    </row>
    <row r="2" spans="1:5" ht="66" x14ac:dyDescent="0.3">
      <c r="A2" t="s">
        <v>71</v>
      </c>
      <c r="B2" s="237">
        <v>19</v>
      </c>
      <c r="C2" s="13">
        <v>3</v>
      </c>
      <c r="D2" s="13">
        <v>4</v>
      </c>
      <c r="E2" s="11" t="s">
        <v>248</v>
      </c>
    </row>
    <row r="3" spans="1:5" ht="99" x14ac:dyDescent="0.3">
      <c r="A3" t="s">
        <v>74</v>
      </c>
      <c r="B3" s="237">
        <v>27</v>
      </c>
      <c r="C3" s="13">
        <v>3</v>
      </c>
      <c r="D3" s="13">
        <v>5</v>
      </c>
      <c r="E3" s="11" t="s">
        <v>253</v>
      </c>
    </row>
    <row r="4" spans="1:5" ht="132" x14ac:dyDescent="0.3">
      <c r="A4" t="s">
        <v>75</v>
      </c>
      <c r="B4" s="237">
        <v>50</v>
      </c>
      <c r="C4" s="13">
        <v>3</v>
      </c>
      <c r="D4" s="13">
        <v>5</v>
      </c>
      <c r="E4" s="11" t="s">
        <v>250</v>
      </c>
    </row>
    <row r="5" spans="1:5" ht="148.5" x14ac:dyDescent="0.3">
      <c r="A5" t="s">
        <v>73</v>
      </c>
      <c r="B5" s="237">
        <v>36</v>
      </c>
      <c r="C5" s="13">
        <v>3</v>
      </c>
      <c r="D5" s="13">
        <v>5</v>
      </c>
      <c r="E5" s="11" t="s">
        <v>251</v>
      </c>
    </row>
    <row r="6" spans="1:5" ht="115.5" x14ac:dyDescent="0.3">
      <c r="A6" t="s">
        <v>76</v>
      </c>
      <c r="B6" s="237">
        <v>30</v>
      </c>
      <c r="C6" s="13">
        <v>3</v>
      </c>
      <c r="D6" s="13">
        <v>5</v>
      </c>
      <c r="E6" s="11" t="s">
        <v>252</v>
      </c>
    </row>
  </sheetData>
  <sheetProtection algorithmName="SHA-512" hashValue="jWa198sph58v9DAkmMoTWeWa47fIasZ+7yP28mOgFk56xtqMbtzjAoPfj/JRP6D77gPSseCWujO3OVR/Xmx1WA==" saltValue="88vnfzW9WBMKXaQK11AQlg=="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workbookViewId="0">
      <pane ySplit="3" topLeftCell="A47" activePane="bottomLeft" state="frozen"/>
      <selection pane="bottomLeft" activeCell="B71" sqref="B71"/>
    </sheetView>
  </sheetViews>
  <sheetFormatPr baseColWidth="10" defaultRowHeight="16.5" x14ac:dyDescent="0.3"/>
  <cols>
    <col min="1" max="1" width="39.25" style="2" bestFit="1" customWidth="1"/>
    <col min="2" max="2" width="23.875" style="2" customWidth="1"/>
  </cols>
  <sheetData>
    <row r="1" spans="1:2" ht="20.25" x14ac:dyDescent="0.35">
      <c r="A1" s="7" t="s">
        <v>70</v>
      </c>
    </row>
    <row r="2" spans="1:2" x14ac:dyDescent="0.3">
      <c r="A2" s="1"/>
    </row>
    <row r="3" spans="1:2" x14ac:dyDescent="0.3">
      <c r="A3" s="1" t="s">
        <v>1</v>
      </c>
      <c r="B3" s="1" t="s">
        <v>2</v>
      </c>
    </row>
    <row r="4" spans="1:2" x14ac:dyDescent="0.3">
      <c r="A4" s="3">
        <v>0</v>
      </c>
      <c r="B4" s="3">
        <v>0</v>
      </c>
    </row>
    <row r="5" spans="1:2" x14ac:dyDescent="0.3">
      <c r="A5" s="3">
        <v>3000</v>
      </c>
      <c r="B5" s="3">
        <v>46</v>
      </c>
    </row>
    <row r="6" spans="1:2" x14ac:dyDescent="0.3">
      <c r="A6" s="4">
        <v>3500</v>
      </c>
      <c r="B6" s="4">
        <v>54</v>
      </c>
    </row>
    <row r="7" spans="1:2" x14ac:dyDescent="0.3">
      <c r="A7" s="4">
        <v>4000</v>
      </c>
      <c r="B7" s="4">
        <v>64</v>
      </c>
    </row>
    <row r="8" spans="1:2" x14ac:dyDescent="0.3">
      <c r="A8" s="4">
        <v>4500</v>
      </c>
      <c r="B8" s="4">
        <v>72</v>
      </c>
    </row>
    <row r="9" spans="1:2" x14ac:dyDescent="0.3">
      <c r="A9" s="4">
        <v>5000</v>
      </c>
      <c r="B9" s="4">
        <v>81</v>
      </c>
    </row>
    <row r="10" spans="1:2" x14ac:dyDescent="0.3">
      <c r="A10" s="4">
        <v>6000</v>
      </c>
      <c r="B10" s="4">
        <v>91</v>
      </c>
    </row>
    <row r="11" spans="1:2" x14ac:dyDescent="0.3">
      <c r="A11" s="4">
        <v>7000</v>
      </c>
      <c r="B11" s="4">
        <v>99</v>
      </c>
    </row>
    <row r="12" spans="1:2" x14ac:dyDescent="0.3">
      <c r="A12" s="4">
        <v>8000</v>
      </c>
      <c r="B12" s="4">
        <v>109</v>
      </c>
    </row>
    <row r="13" spans="1:2" x14ac:dyDescent="0.3">
      <c r="A13" s="4">
        <v>9000</v>
      </c>
      <c r="B13" s="4">
        <v>114</v>
      </c>
    </row>
    <row r="14" spans="1:2" x14ac:dyDescent="0.3">
      <c r="A14" s="4">
        <v>10000</v>
      </c>
      <c r="B14" s="4">
        <v>120</v>
      </c>
    </row>
    <row r="15" spans="1:2" x14ac:dyDescent="0.3">
      <c r="A15" s="4">
        <v>12500</v>
      </c>
      <c r="B15" s="4">
        <v>126</v>
      </c>
    </row>
    <row r="16" spans="1:2" x14ac:dyDescent="0.3">
      <c r="A16" s="4">
        <v>15000</v>
      </c>
      <c r="B16" s="4">
        <v>142</v>
      </c>
    </row>
    <row r="17" spans="1:2" x14ac:dyDescent="0.3">
      <c r="A17" s="4">
        <v>17500</v>
      </c>
      <c r="B17" s="4">
        <v>157</v>
      </c>
    </row>
    <row r="18" spans="1:2" x14ac:dyDescent="0.3">
      <c r="A18" s="4">
        <v>20000</v>
      </c>
      <c r="B18" s="4">
        <v>168</v>
      </c>
    </row>
    <row r="19" spans="1:2" x14ac:dyDescent="0.3">
      <c r="A19" s="4">
        <v>22500</v>
      </c>
      <c r="B19" s="4">
        <v>180</v>
      </c>
    </row>
    <row r="20" spans="1:2" x14ac:dyDescent="0.3">
      <c r="A20" s="4">
        <v>25000</v>
      </c>
      <c r="B20" s="4">
        <v>190</v>
      </c>
    </row>
    <row r="21" spans="1:2" x14ac:dyDescent="0.3">
      <c r="A21" s="4">
        <v>37500</v>
      </c>
      <c r="B21" s="4">
        <v>203</v>
      </c>
    </row>
    <row r="22" spans="1:2" x14ac:dyDescent="0.3">
      <c r="A22" s="4">
        <v>50000</v>
      </c>
      <c r="B22" s="4">
        <v>248</v>
      </c>
    </row>
    <row r="23" spans="1:2" x14ac:dyDescent="0.3">
      <c r="A23" s="4">
        <v>62500</v>
      </c>
      <c r="B23" s="4">
        <v>286</v>
      </c>
    </row>
    <row r="24" spans="1:2" x14ac:dyDescent="0.3">
      <c r="A24" s="4">
        <v>75000</v>
      </c>
      <c r="B24" s="4">
        <v>319</v>
      </c>
    </row>
    <row r="25" spans="1:2" x14ac:dyDescent="0.3">
      <c r="A25" s="4">
        <v>87500</v>
      </c>
      <c r="B25" s="4">
        <v>333</v>
      </c>
    </row>
    <row r="26" spans="1:2" x14ac:dyDescent="0.3">
      <c r="A26" s="4">
        <v>100000</v>
      </c>
      <c r="B26" s="4">
        <v>348</v>
      </c>
    </row>
    <row r="27" spans="1:2" x14ac:dyDescent="0.3">
      <c r="A27" s="4">
        <v>125000</v>
      </c>
      <c r="B27" s="4">
        <v>399</v>
      </c>
    </row>
    <row r="28" spans="1:2" x14ac:dyDescent="0.3">
      <c r="A28" s="4">
        <v>150000</v>
      </c>
      <c r="B28" s="4">
        <v>444</v>
      </c>
    </row>
    <row r="29" spans="1:2" ht="16.5" customHeight="1" x14ac:dyDescent="0.3">
      <c r="A29" s="4">
        <v>175000</v>
      </c>
      <c r="B29" s="6">
        <v>483</v>
      </c>
    </row>
    <row r="30" spans="1:2" x14ac:dyDescent="0.3">
      <c r="A30" s="4">
        <v>200000</v>
      </c>
      <c r="B30" s="4">
        <v>517</v>
      </c>
    </row>
    <row r="31" spans="1:2" x14ac:dyDescent="0.3">
      <c r="A31" s="4">
        <v>225000</v>
      </c>
      <c r="B31" s="4">
        <v>549</v>
      </c>
    </row>
    <row r="32" spans="1:2" x14ac:dyDescent="0.3">
      <c r="A32" s="4">
        <v>250000</v>
      </c>
      <c r="B32" s="4">
        <v>578</v>
      </c>
    </row>
    <row r="33" spans="1:2" x14ac:dyDescent="0.3">
      <c r="A33" s="4">
        <v>300000</v>
      </c>
      <c r="B33" s="4">
        <v>605</v>
      </c>
    </row>
    <row r="34" spans="1:2" x14ac:dyDescent="0.3">
      <c r="A34" s="4">
        <v>350000</v>
      </c>
      <c r="B34" s="4">
        <v>657</v>
      </c>
    </row>
    <row r="35" spans="1:2" x14ac:dyDescent="0.3">
      <c r="A35" s="4">
        <v>400000</v>
      </c>
      <c r="B35" s="4">
        <v>704</v>
      </c>
    </row>
    <row r="36" spans="1:2" x14ac:dyDescent="0.3">
      <c r="A36" s="4">
        <v>450000</v>
      </c>
      <c r="B36" s="4">
        <v>746</v>
      </c>
    </row>
    <row r="37" spans="1:2" x14ac:dyDescent="0.3">
      <c r="A37" s="4">
        <v>500000</v>
      </c>
      <c r="B37" s="4">
        <v>785</v>
      </c>
    </row>
    <row r="38" spans="1:2" x14ac:dyDescent="0.3">
      <c r="A38" s="4">
        <v>625000</v>
      </c>
      <c r="B38" s="4">
        <v>822</v>
      </c>
    </row>
    <row r="39" spans="1:2" x14ac:dyDescent="0.3">
      <c r="A39" s="4">
        <v>750000</v>
      </c>
      <c r="B39" s="4">
        <v>913</v>
      </c>
    </row>
    <row r="40" spans="1:2" x14ac:dyDescent="0.3">
      <c r="A40" s="4">
        <v>875000</v>
      </c>
      <c r="B40" s="4">
        <v>991</v>
      </c>
    </row>
    <row r="41" spans="1:2" x14ac:dyDescent="0.3">
      <c r="A41" s="4">
        <v>1000000</v>
      </c>
      <c r="B41" s="4">
        <v>1062</v>
      </c>
    </row>
    <row r="42" spans="1:2" x14ac:dyDescent="0.3">
      <c r="A42" s="4">
        <v>1250000</v>
      </c>
      <c r="B42" s="4">
        <v>1126</v>
      </c>
    </row>
    <row r="43" spans="1:2" x14ac:dyDescent="0.3">
      <c r="A43" s="4">
        <v>1500000</v>
      </c>
      <c r="B43" s="4">
        <v>1249</v>
      </c>
    </row>
    <row r="44" spans="1:2" x14ac:dyDescent="0.3">
      <c r="A44" s="4">
        <v>1750000</v>
      </c>
      <c r="B44" s="4">
        <v>1357</v>
      </c>
    </row>
    <row r="45" spans="1:2" x14ac:dyDescent="0.3">
      <c r="A45" s="4">
        <v>2000000</v>
      </c>
      <c r="B45" s="4">
        <v>1455</v>
      </c>
    </row>
    <row r="46" spans="1:2" x14ac:dyDescent="0.3">
      <c r="A46" s="4">
        <v>2250000</v>
      </c>
      <c r="B46" s="4">
        <v>1542</v>
      </c>
    </row>
    <row r="47" spans="1:2" x14ac:dyDescent="0.3">
      <c r="A47" s="4">
        <v>2500000</v>
      </c>
      <c r="B47" s="4">
        <v>1621</v>
      </c>
    </row>
    <row r="48" spans="1:2" x14ac:dyDescent="0.3">
      <c r="A48" s="4">
        <v>3000000</v>
      </c>
      <c r="B48" s="4">
        <v>1695</v>
      </c>
    </row>
    <row r="49" spans="1:2" x14ac:dyDescent="0.3">
      <c r="A49" s="4">
        <v>3500000</v>
      </c>
      <c r="B49" s="4">
        <v>1841</v>
      </c>
    </row>
    <row r="50" spans="1:2" x14ac:dyDescent="0.3">
      <c r="A50" s="4">
        <v>4000000</v>
      </c>
      <c r="B50" s="4">
        <v>1971</v>
      </c>
    </row>
    <row r="51" spans="1:2" x14ac:dyDescent="0.3">
      <c r="A51" s="4">
        <v>4500000</v>
      </c>
      <c r="B51" s="4">
        <v>2089</v>
      </c>
    </row>
    <row r="52" spans="1:2" x14ac:dyDescent="0.3">
      <c r="A52" s="4">
        <v>5000000</v>
      </c>
      <c r="B52" s="4">
        <v>2196</v>
      </c>
    </row>
    <row r="53" spans="1:2" x14ac:dyDescent="0.3">
      <c r="A53" s="4">
        <v>7500000</v>
      </c>
      <c r="B53" s="4">
        <v>2566</v>
      </c>
    </row>
    <row r="54" spans="1:2" x14ac:dyDescent="0.3">
      <c r="A54" s="4">
        <v>10000000</v>
      </c>
      <c r="B54" s="4">
        <v>2983</v>
      </c>
    </row>
    <row r="55" spans="1:2" x14ac:dyDescent="0.3">
      <c r="A55" s="4">
        <v>12500000</v>
      </c>
      <c r="B55" s="4">
        <v>3321</v>
      </c>
    </row>
    <row r="56" spans="1:2" x14ac:dyDescent="0.3">
      <c r="A56" s="4">
        <v>15000000</v>
      </c>
      <c r="B56" s="4">
        <v>3603</v>
      </c>
    </row>
    <row r="57" spans="1:2" x14ac:dyDescent="0.3">
      <c r="A57" s="4">
        <v>17500000</v>
      </c>
      <c r="B57" s="4">
        <v>3843</v>
      </c>
    </row>
    <row r="58" spans="1:2" x14ac:dyDescent="0.3">
      <c r="A58" s="4">
        <v>20000000</v>
      </c>
      <c r="B58" s="4">
        <v>4050</v>
      </c>
    </row>
    <row r="59" spans="1:2" x14ac:dyDescent="0.3">
      <c r="A59" s="4">
        <v>22500000</v>
      </c>
      <c r="B59" s="4">
        <v>4314</v>
      </c>
    </row>
    <row r="60" spans="1:2" x14ac:dyDescent="0.3">
      <c r="A60" s="4">
        <v>25000000</v>
      </c>
      <c r="B60" s="4">
        <v>4558</v>
      </c>
    </row>
    <row r="61" spans="1:2" x14ac:dyDescent="0.3">
      <c r="A61" s="4">
        <v>30000000</v>
      </c>
      <c r="B61" s="4">
        <v>5014</v>
      </c>
    </row>
    <row r="62" spans="1:2" x14ac:dyDescent="0.3">
      <c r="A62" s="4">
        <v>35000000</v>
      </c>
      <c r="B62" s="4">
        <v>5433</v>
      </c>
    </row>
    <row r="63" spans="1:2" x14ac:dyDescent="0.3">
      <c r="A63" s="4">
        <v>40000000</v>
      </c>
      <c r="B63" s="4">
        <v>5823</v>
      </c>
    </row>
    <row r="64" spans="1:2" x14ac:dyDescent="0.3">
      <c r="A64" s="4">
        <v>45000000</v>
      </c>
      <c r="B64" s="4">
        <v>6187</v>
      </c>
    </row>
    <row r="65" spans="1:2" x14ac:dyDescent="0.3">
      <c r="A65" s="4">
        <v>50000000</v>
      </c>
      <c r="B65" s="4">
        <v>6532</v>
      </c>
    </row>
    <row r="66" spans="1:2" ht="33" x14ac:dyDescent="0.3">
      <c r="A66" s="9" t="s">
        <v>67</v>
      </c>
      <c r="B66" s="4">
        <v>258</v>
      </c>
    </row>
    <row r="67" spans="1:2" x14ac:dyDescent="0.3">
      <c r="A67" s="9">
        <v>125000000</v>
      </c>
      <c r="B67" s="4">
        <f>B65+(A67-A65)/5000000*B66</f>
        <v>10402</v>
      </c>
    </row>
    <row r="68" spans="1:2" ht="33" x14ac:dyDescent="0.3">
      <c r="A68" s="9" t="s">
        <v>68</v>
      </c>
      <c r="B68" s="4">
        <v>450</v>
      </c>
    </row>
    <row r="69" spans="1:2" x14ac:dyDescent="0.3">
      <c r="A69" s="9">
        <v>250000000</v>
      </c>
      <c r="B69" s="4">
        <f>B67+(A69-A67)/12500000*B68</f>
        <v>14902</v>
      </c>
    </row>
    <row r="70" spans="1:2" ht="33" x14ac:dyDescent="0.3">
      <c r="A70" s="9" t="s">
        <v>69</v>
      </c>
      <c r="B70" s="4">
        <v>642</v>
      </c>
    </row>
    <row r="71" spans="1:2" x14ac:dyDescent="0.3">
      <c r="A71" s="4"/>
      <c r="B71" s="4"/>
    </row>
    <row r="72" spans="1:2" x14ac:dyDescent="0.3">
      <c r="A72" s="4"/>
      <c r="B72" s="4"/>
    </row>
    <row r="73" spans="1:2" x14ac:dyDescent="0.3">
      <c r="A73" s="4"/>
      <c r="B73" s="4"/>
    </row>
    <row r="74" spans="1:2" x14ac:dyDescent="0.3">
      <c r="A74" s="4"/>
      <c r="B74" s="4"/>
    </row>
    <row r="75" spans="1:2" x14ac:dyDescent="0.3">
      <c r="A75" s="4"/>
      <c r="B75" s="4"/>
    </row>
    <row r="76" spans="1:2" x14ac:dyDescent="0.3">
      <c r="A76" s="4"/>
      <c r="B76" s="4"/>
    </row>
    <row r="77" spans="1:2" x14ac:dyDescent="0.3">
      <c r="A77" s="4"/>
      <c r="B77" s="4"/>
    </row>
    <row r="78" spans="1:2" x14ac:dyDescent="0.3">
      <c r="A78" s="4"/>
      <c r="B78" s="4"/>
    </row>
    <row r="79" spans="1:2" x14ac:dyDescent="0.3">
      <c r="A79" s="4"/>
      <c r="B79" s="4"/>
    </row>
    <row r="80" spans="1:2" x14ac:dyDescent="0.3">
      <c r="A80" s="4"/>
      <c r="B80" s="4"/>
    </row>
    <row r="81" spans="1:2" x14ac:dyDescent="0.3">
      <c r="A81" s="4"/>
      <c r="B81" s="4"/>
    </row>
    <row r="82" spans="1:2" x14ac:dyDescent="0.3">
      <c r="A82" s="4"/>
      <c r="B82" s="4"/>
    </row>
    <row r="83" spans="1:2" x14ac:dyDescent="0.3">
      <c r="A83" s="4"/>
      <c r="B83" s="4"/>
    </row>
    <row r="84" spans="1:2" x14ac:dyDescent="0.3">
      <c r="A84" s="4"/>
      <c r="B84" s="4"/>
    </row>
    <row r="85" spans="1:2" x14ac:dyDescent="0.3">
      <c r="A85" s="4"/>
      <c r="B85" s="4"/>
    </row>
    <row r="86" spans="1:2" x14ac:dyDescent="0.3">
      <c r="A86" s="4"/>
      <c r="B86" s="4"/>
    </row>
    <row r="87" spans="1:2" x14ac:dyDescent="0.3">
      <c r="A87" s="4"/>
      <c r="B87" s="4"/>
    </row>
    <row r="88" spans="1:2" x14ac:dyDescent="0.3">
      <c r="A88" s="4"/>
      <c r="B88" s="4"/>
    </row>
    <row r="89" spans="1:2" x14ac:dyDescent="0.3">
      <c r="A89" s="4"/>
      <c r="B89" s="4"/>
    </row>
    <row r="90" spans="1:2" x14ac:dyDescent="0.3">
      <c r="A90" s="4"/>
      <c r="B90" s="4"/>
    </row>
    <row r="91" spans="1:2" x14ac:dyDescent="0.3">
      <c r="A91" s="4"/>
      <c r="B91" s="4"/>
    </row>
    <row r="92" spans="1:2" x14ac:dyDescent="0.3">
      <c r="A92" s="4"/>
      <c r="B92" s="4"/>
    </row>
    <row r="93" spans="1:2" x14ac:dyDescent="0.3">
      <c r="A93" s="4"/>
      <c r="B93" s="4"/>
    </row>
    <row r="94" spans="1:2" x14ac:dyDescent="0.3">
      <c r="A94" s="4"/>
      <c r="B94" s="4"/>
    </row>
    <row r="95" spans="1:2" x14ac:dyDescent="0.3">
      <c r="A95" s="4"/>
      <c r="B95" s="4"/>
    </row>
    <row r="96" spans="1:2" x14ac:dyDescent="0.3">
      <c r="A96" s="4"/>
      <c r="B96" s="4"/>
    </row>
    <row r="97" spans="1:2" x14ac:dyDescent="0.3">
      <c r="A97" s="4"/>
      <c r="B97" s="4"/>
    </row>
    <row r="98" spans="1:2" x14ac:dyDescent="0.3">
      <c r="A98" s="4"/>
      <c r="B98" s="4"/>
    </row>
    <row r="99" spans="1:2" x14ac:dyDescent="0.3">
      <c r="A99" s="4"/>
      <c r="B99" s="4"/>
    </row>
    <row r="100" spans="1:2" x14ac:dyDescent="0.3">
      <c r="A100" s="4"/>
      <c r="B100" s="4"/>
    </row>
    <row r="101" spans="1:2" x14ac:dyDescent="0.3">
      <c r="A101" s="4"/>
      <c r="B101" s="4"/>
    </row>
    <row r="102" spans="1:2" x14ac:dyDescent="0.3">
      <c r="A102" s="4"/>
      <c r="B102" s="4"/>
    </row>
    <row r="103" spans="1:2" x14ac:dyDescent="0.3">
      <c r="A103" s="4"/>
      <c r="B103" s="4"/>
    </row>
    <row r="104" spans="1:2" x14ac:dyDescent="0.3">
      <c r="A104" s="4"/>
      <c r="B104" s="4"/>
    </row>
    <row r="105" spans="1:2" x14ac:dyDescent="0.3">
      <c r="A105" s="4"/>
      <c r="B105" s="4"/>
    </row>
    <row r="106" spans="1:2" x14ac:dyDescent="0.3">
      <c r="A106" s="4"/>
      <c r="B106" s="4"/>
    </row>
    <row r="107" spans="1:2" x14ac:dyDescent="0.3">
      <c r="A107" s="4"/>
      <c r="B107" s="4"/>
    </row>
    <row r="108" spans="1:2" x14ac:dyDescent="0.3">
      <c r="A108" s="4"/>
      <c r="B108" s="4"/>
    </row>
    <row r="109" spans="1:2" x14ac:dyDescent="0.3">
      <c r="A109" s="4"/>
      <c r="B109" s="4"/>
    </row>
    <row r="110" spans="1:2" x14ac:dyDescent="0.3">
      <c r="A110" s="4"/>
      <c r="B110" s="4"/>
    </row>
    <row r="111" spans="1:2" x14ac:dyDescent="0.3">
      <c r="A111" s="4"/>
      <c r="B111" s="4"/>
    </row>
    <row r="112" spans="1:2" x14ac:dyDescent="0.3">
      <c r="A112" s="4"/>
      <c r="B112" s="4"/>
    </row>
    <row r="113" spans="1:2" x14ac:dyDescent="0.3">
      <c r="A113" s="4"/>
      <c r="B113" s="4"/>
    </row>
    <row r="114" spans="1:2" x14ac:dyDescent="0.3">
      <c r="A114" s="4"/>
      <c r="B114" s="4"/>
    </row>
    <row r="115" spans="1:2" x14ac:dyDescent="0.3">
      <c r="A115" s="4"/>
      <c r="B115" s="4"/>
    </row>
    <row r="116" spans="1:2" x14ac:dyDescent="0.3">
      <c r="A116" s="4"/>
      <c r="B116" s="4"/>
    </row>
    <row r="117" spans="1:2" x14ac:dyDescent="0.3">
      <c r="A117" s="4"/>
      <c r="B117" s="4"/>
    </row>
    <row r="118" spans="1:2" x14ac:dyDescent="0.3">
      <c r="A118" s="4"/>
      <c r="B118" s="4"/>
    </row>
    <row r="119" spans="1:2" x14ac:dyDescent="0.3">
      <c r="A119" s="4"/>
      <c r="B119" s="4"/>
    </row>
  </sheetData>
  <sheetProtection algorithmName="SHA-512" hashValue="3DIo/uqdp6ii+cjKLtzMaa6fuTiv0N+9YtawiDO1dj4ebX5eg/zemoeS2b9Qkaj2uy/07VtYkSmFlmHComABUw==" saltValue="gzHqToN1llaV8oIJtMRU+A=="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outlinePr summaryBelow="0" summaryRight="0"/>
    <pageSetUpPr fitToPage="1"/>
  </sheetPr>
  <dimension ref="A1:O72"/>
  <sheetViews>
    <sheetView showGridLines="0" showRowColHeaders="0" workbookViewId="0">
      <selection activeCell="J22" sqref="J22"/>
    </sheetView>
  </sheetViews>
  <sheetFormatPr baseColWidth="10" defaultColWidth="11" defaultRowHeight="16.5" outlineLevelRow="1" outlineLevelCol="1" x14ac:dyDescent="0.3"/>
  <cols>
    <col min="1" max="1" width="2.75" style="147" customWidth="1"/>
    <col min="2" max="2" width="50.625" style="147" customWidth="1"/>
    <col min="3" max="3" width="2.875" style="143" customWidth="1"/>
    <col min="4" max="4" width="29.25" style="143" customWidth="1"/>
    <col min="5" max="5" width="6.125" style="143" customWidth="1" collapsed="1"/>
    <col min="6" max="6" width="12.375" style="144" hidden="1" customWidth="1" outlineLevel="1"/>
    <col min="7" max="9" width="12.375" style="145" hidden="1" customWidth="1" outlineLevel="1"/>
    <col min="10" max="10" width="27.75" style="146" customWidth="1" collapsed="1"/>
    <col min="11" max="14" width="11" style="147"/>
    <col min="15" max="15" width="11" style="148"/>
    <col min="16" max="16384" width="11" style="147"/>
  </cols>
  <sheetData>
    <row r="1" spans="1:13" x14ac:dyDescent="0.3">
      <c r="A1" s="244"/>
      <c r="B1" s="244"/>
      <c r="C1" s="245"/>
      <c r="D1" s="245"/>
      <c r="E1" s="245"/>
      <c r="F1" s="246"/>
      <c r="G1" s="247"/>
      <c r="H1" s="247"/>
      <c r="I1" s="247"/>
      <c r="J1" s="248">
        <f>Stammdaten!D2</f>
        <v>45003</v>
      </c>
      <c r="K1" s="244"/>
      <c r="L1" s="244"/>
      <c r="M1" s="244"/>
    </row>
    <row r="2" spans="1:13" ht="20.25" x14ac:dyDescent="0.35">
      <c r="A2" s="244"/>
      <c r="B2" s="249" t="str">
        <f>Finanzbuchführung!B2</f>
        <v>99999 Test</v>
      </c>
      <c r="C2" s="245"/>
      <c r="D2" s="245"/>
      <c r="E2" s="245"/>
      <c r="F2" s="246"/>
      <c r="G2" s="247"/>
      <c r="H2" s="247"/>
      <c r="I2" s="247"/>
      <c r="J2" s="250"/>
      <c r="K2" s="244"/>
      <c r="L2" s="244"/>
      <c r="M2" s="244"/>
    </row>
    <row r="3" spans="1:13" ht="25.5" x14ac:dyDescent="0.5">
      <c r="A3" s="244"/>
      <c r="B3" s="323" t="str">
        <f>CONCATENATE(Stammdaten!D6," für die Erstellung Ihrer Einkommensteuererklärung")</f>
        <v>Honorarangebot für die Erstellung Ihrer Einkommensteuererklärung</v>
      </c>
      <c r="C3" s="323"/>
      <c r="D3" s="323"/>
      <c r="E3" s="323"/>
      <c r="F3" s="323"/>
      <c r="G3" s="323"/>
      <c r="H3" s="323"/>
      <c r="I3" s="323"/>
      <c r="J3" s="323"/>
      <c r="K3" s="244"/>
      <c r="L3" s="244"/>
      <c r="M3" s="244"/>
    </row>
    <row r="4" spans="1:13" ht="19.5" customHeight="1" x14ac:dyDescent="0.5">
      <c r="A4" s="244"/>
      <c r="B4" s="323" t="str">
        <f>CONCATENATE("für das Veranlagungsjahr ",Stammdaten!D4-1)</f>
        <v>für das Veranlagungsjahr 2022</v>
      </c>
      <c r="C4" s="323"/>
      <c r="D4" s="323"/>
      <c r="E4" s="323"/>
      <c r="F4" s="323"/>
      <c r="G4" s="323"/>
      <c r="H4" s="323"/>
      <c r="I4" s="323"/>
      <c r="J4" s="323"/>
      <c r="K4" s="244"/>
      <c r="L4" s="244"/>
      <c r="M4" s="244"/>
    </row>
    <row r="5" spans="1:13" ht="16.5" customHeight="1" x14ac:dyDescent="0.5">
      <c r="A5" s="244"/>
      <c r="B5" s="251"/>
      <c r="C5" s="252"/>
      <c r="D5" s="252"/>
      <c r="E5" s="252"/>
      <c r="F5" s="246"/>
      <c r="G5" s="247"/>
      <c r="H5" s="247"/>
      <c r="I5" s="247"/>
      <c r="J5" s="250"/>
      <c r="K5" s="244"/>
      <c r="L5" s="244"/>
      <c r="M5" s="244"/>
    </row>
    <row r="6" spans="1:13" x14ac:dyDescent="0.3">
      <c r="A6" s="244"/>
      <c r="B6" s="244" t="s">
        <v>129</v>
      </c>
      <c r="C6" s="245"/>
      <c r="D6" s="245"/>
      <c r="E6" s="245"/>
      <c r="F6" s="246"/>
      <c r="G6" s="247"/>
      <c r="H6" s="247"/>
      <c r="I6" s="247"/>
      <c r="J6" s="173">
        <v>100000</v>
      </c>
      <c r="K6" s="244"/>
      <c r="L6" s="244"/>
      <c r="M6" s="244"/>
    </row>
    <row r="7" spans="1:13" ht="19.5" customHeight="1" collapsed="1" x14ac:dyDescent="0.3">
      <c r="A7" s="244"/>
      <c r="B7" s="244"/>
      <c r="C7" s="245"/>
      <c r="D7" s="245"/>
      <c r="E7" s="245"/>
      <c r="F7" s="246"/>
      <c r="G7" s="247"/>
      <c r="H7" s="247"/>
      <c r="I7" s="247"/>
      <c r="J7" s="250"/>
      <c r="K7" s="244"/>
      <c r="L7" s="244"/>
      <c r="M7" s="244"/>
    </row>
    <row r="8" spans="1:13" hidden="1" outlineLevel="1" x14ac:dyDescent="0.3">
      <c r="A8" s="244"/>
      <c r="B8" s="244" t="s">
        <v>5</v>
      </c>
      <c r="C8" s="245"/>
      <c r="D8" s="245"/>
      <c r="E8" s="245"/>
      <c r="F8" s="246"/>
      <c r="G8" s="247"/>
      <c r="H8" s="247"/>
      <c r="I8" s="247"/>
      <c r="J8" s="253">
        <f>MATCH(J6-1,'Tab A (Beratung)'!$A$4:$A$53,1)</f>
        <v>31</v>
      </c>
      <c r="K8" s="244"/>
      <c r="L8" s="244"/>
      <c r="M8" s="244"/>
    </row>
    <row r="9" spans="1:13" hidden="1" outlineLevel="1" x14ac:dyDescent="0.3">
      <c r="A9" s="244"/>
      <c r="B9" s="244" t="s">
        <v>101</v>
      </c>
      <c r="C9" s="245"/>
      <c r="D9" s="245"/>
      <c r="E9" s="245"/>
      <c r="F9" s="246"/>
      <c r="G9" s="247"/>
      <c r="H9" s="247"/>
      <c r="I9" s="247"/>
      <c r="J9" s="250">
        <f>IF(J6&lt;600000,INDEX('Tab A (Beratung)'!$A$5:$B$53,J8,2),0)</f>
        <v>1593</v>
      </c>
      <c r="K9" s="244"/>
      <c r="L9" s="244"/>
      <c r="M9" s="244"/>
    </row>
    <row r="10" spans="1:13" hidden="1" outlineLevel="1" x14ac:dyDescent="0.3">
      <c r="A10" s="244"/>
      <c r="B10" s="244" t="s">
        <v>102</v>
      </c>
      <c r="C10" s="245"/>
      <c r="D10" s="245"/>
      <c r="E10" s="245"/>
      <c r="F10" s="246"/>
      <c r="G10" s="247"/>
      <c r="H10" s="247"/>
      <c r="I10" s="247"/>
      <c r="J10" s="250">
        <f>IF(AND(J6&gt;=600000,J6&lt;5000000),ROUNDUP((J6-'Tab A (Beratung)'!$A$53)/50000,0)*'Tab A (Beratung)'!$B$54+'Tab A (Beratung)'!$B$53,0)</f>
        <v>0</v>
      </c>
      <c r="K10" s="244"/>
      <c r="L10" s="244"/>
      <c r="M10" s="244"/>
    </row>
    <row r="11" spans="1:13" hidden="1" outlineLevel="1" x14ac:dyDescent="0.3">
      <c r="A11" s="244"/>
      <c r="B11" s="244" t="s">
        <v>103</v>
      </c>
      <c r="C11" s="245"/>
      <c r="D11" s="245"/>
      <c r="E11" s="245"/>
      <c r="F11" s="246"/>
      <c r="G11" s="247"/>
      <c r="H11" s="247"/>
      <c r="I11" s="247"/>
      <c r="J11" s="250">
        <f>IF(AND(J6&gt;=5000000,J6&lt;25000000),ROUNDUP((J6-'Tab A (Beratung)'!$A$55)/50000,0)*'Tab A (Beratung)'!$B$56+'Tab A (Beratung)'!$B$55,0)</f>
        <v>0</v>
      </c>
      <c r="K11" s="244"/>
      <c r="L11" s="244"/>
      <c r="M11" s="244"/>
    </row>
    <row r="12" spans="1:13" hidden="1" outlineLevel="1" x14ac:dyDescent="0.3">
      <c r="A12" s="244"/>
      <c r="B12" s="244" t="s">
        <v>104</v>
      </c>
      <c r="C12" s="245"/>
      <c r="D12" s="245"/>
      <c r="E12" s="245"/>
      <c r="F12" s="246"/>
      <c r="G12" s="247"/>
      <c r="H12" s="247"/>
      <c r="I12" s="247"/>
      <c r="J12" s="250">
        <f>IF(J6&gt;=25000000,ROUNDUP((J6-'Tab A (Beratung)'!$A$57)/50000,0)*'Tab A (Beratung)'!$B$58+'Tab A (Beratung)'!$B$57,0)</f>
        <v>0</v>
      </c>
      <c r="K12" s="244"/>
      <c r="L12" s="244"/>
      <c r="M12" s="244"/>
    </row>
    <row r="13" spans="1:13" hidden="1" outlineLevel="1" x14ac:dyDescent="0.3">
      <c r="A13" s="244"/>
      <c r="B13" s="244"/>
      <c r="C13" s="245"/>
      <c r="D13" s="245"/>
      <c r="E13" s="245"/>
      <c r="F13" s="246"/>
      <c r="G13" s="247"/>
      <c r="H13" s="247"/>
      <c r="I13" s="247"/>
      <c r="J13" s="250"/>
      <c r="K13" s="244"/>
      <c r="L13" s="244"/>
      <c r="M13" s="244"/>
    </row>
    <row r="14" spans="1:13" hidden="1" outlineLevel="1" x14ac:dyDescent="0.3">
      <c r="A14" s="244"/>
      <c r="B14" s="244" t="s">
        <v>2</v>
      </c>
      <c r="C14" s="245"/>
      <c r="D14" s="245"/>
      <c r="E14" s="245"/>
      <c r="F14" s="246"/>
      <c r="G14" s="247"/>
      <c r="H14" s="247"/>
      <c r="I14" s="247"/>
      <c r="J14" s="250">
        <f>SUM(J9:J12)</f>
        <v>1593</v>
      </c>
      <c r="K14" s="244"/>
      <c r="L14" s="244"/>
      <c r="M14" s="244"/>
    </row>
    <row r="15" spans="1:13" hidden="1" outlineLevel="1" x14ac:dyDescent="0.3">
      <c r="A15" s="244"/>
      <c r="B15" s="254" t="s">
        <v>77</v>
      </c>
      <c r="C15" s="252"/>
      <c r="D15" s="252"/>
      <c r="E15" s="252"/>
      <c r="F15" s="255"/>
      <c r="G15" s="256"/>
      <c r="H15" s="256"/>
      <c r="I15" s="256"/>
      <c r="J15" s="257">
        <v>3</v>
      </c>
      <c r="K15" s="244"/>
      <c r="L15" s="244"/>
      <c r="M15" s="244"/>
    </row>
    <row r="16" spans="1:13" hidden="1" outlineLevel="1" x14ac:dyDescent="0.3">
      <c r="A16" s="244"/>
      <c r="B16" s="244" t="s">
        <v>97</v>
      </c>
      <c r="C16" s="245"/>
      <c r="D16" s="245"/>
      <c r="E16" s="245"/>
      <c r="F16" s="246"/>
      <c r="G16" s="247"/>
      <c r="H16" s="247" t="s">
        <v>114</v>
      </c>
      <c r="I16" s="250">
        <v>1</v>
      </c>
      <c r="J16" s="250">
        <f>MROUND(J14*J15/10,I16)</f>
        <v>478</v>
      </c>
      <c r="K16" s="244"/>
      <c r="L16" s="244"/>
      <c r="M16" s="244"/>
    </row>
    <row r="17" spans="1:15" hidden="1" outlineLevel="1" x14ac:dyDescent="0.3">
      <c r="A17" s="244"/>
      <c r="B17" s="244" t="s">
        <v>84</v>
      </c>
      <c r="C17" s="245"/>
      <c r="D17" s="245"/>
      <c r="E17" s="245"/>
      <c r="F17" s="246"/>
      <c r="G17" s="247"/>
      <c r="H17" s="247"/>
      <c r="I17" s="247"/>
      <c r="J17" s="174">
        <v>20</v>
      </c>
      <c r="K17" s="244"/>
      <c r="L17" s="244"/>
      <c r="M17" s="244"/>
    </row>
    <row r="18" spans="1:15" x14ac:dyDescent="0.3">
      <c r="A18" s="244"/>
      <c r="B18" s="254" t="s">
        <v>79</v>
      </c>
      <c r="C18" s="245"/>
      <c r="D18" s="245"/>
      <c r="E18" s="245"/>
      <c r="F18" s="246"/>
      <c r="G18" s="247"/>
      <c r="H18" s="247"/>
      <c r="I18" s="247"/>
      <c r="J18" s="258"/>
      <c r="K18" s="244"/>
      <c r="L18" s="244"/>
      <c r="M18" s="244"/>
    </row>
    <row r="19" spans="1:15" x14ac:dyDescent="0.3">
      <c r="A19" s="244"/>
      <c r="B19" s="254"/>
      <c r="C19" s="245"/>
      <c r="D19" s="245"/>
      <c r="E19" s="245"/>
      <c r="F19" s="246"/>
      <c r="G19" s="247"/>
      <c r="H19" s="247"/>
      <c r="I19" s="247"/>
      <c r="J19" s="258"/>
      <c r="K19" s="244"/>
      <c r="L19" s="244"/>
      <c r="M19" s="244"/>
    </row>
    <row r="20" spans="1:15" s="149" customFormat="1" x14ac:dyDescent="0.3">
      <c r="A20" s="259"/>
      <c r="B20" s="259" t="s">
        <v>121</v>
      </c>
      <c r="C20" s="260"/>
      <c r="D20" s="260"/>
      <c r="E20" s="260"/>
      <c r="F20" s="261"/>
      <c r="G20" s="262"/>
      <c r="H20" s="262"/>
      <c r="I20" s="262"/>
      <c r="J20" s="263"/>
      <c r="K20" s="259"/>
      <c r="L20" s="259"/>
      <c r="M20" s="259"/>
      <c r="O20" s="150"/>
    </row>
    <row r="21" spans="1:15" s="149" customFormat="1" x14ac:dyDescent="0.3">
      <c r="A21" s="259"/>
      <c r="B21" s="259" t="s">
        <v>122</v>
      </c>
      <c r="C21" s="260"/>
      <c r="D21" s="260"/>
      <c r="E21" s="260"/>
      <c r="F21" s="261"/>
      <c r="G21" s="262"/>
      <c r="H21" s="262"/>
      <c r="I21" s="262"/>
      <c r="J21" s="263"/>
      <c r="K21" s="259"/>
      <c r="L21" s="259"/>
      <c r="M21" s="259"/>
      <c r="O21" s="150"/>
    </row>
    <row r="22" spans="1:15" s="149" customFormat="1" x14ac:dyDescent="0.3">
      <c r="A22" s="259"/>
      <c r="B22" s="259" t="s">
        <v>123</v>
      </c>
      <c r="C22" s="260"/>
      <c r="D22" s="260"/>
      <c r="E22" s="260"/>
      <c r="F22" s="261"/>
      <c r="G22" s="262"/>
      <c r="H22" s="262"/>
      <c r="I22" s="262"/>
      <c r="J22" s="263"/>
      <c r="K22" s="259"/>
      <c r="L22" s="259"/>
      <c r="M22" s="259"/>
      <c r="O22" s="150"/>
    </row>
    <row r="23" spans="1:15" s="149" customFormat="1" x14ac:dyDescent="0.3">
      <c r="A23" s="259"/>
      <c r="B23" s="259" t="s">
        <v>128</v>
      </c>
      <c r="C23" s="260"/>
      <c r="D23" s="260"/>
      <c r="E23" s="260"/>
      <c r="F23" s="261"/>
      <c r="G23" s="262"/>
      <c r="H23" s="262"/>
      <c r="I23" s="262"/>
      <c r="J23" s="263"/>
      <c r="K23" s="259"/>
      <c r="L23" s="259"/>
      <c r="M23" s="259"/>
      <c r="O23" s="150"/>
    </row>
    <row r="24" spans="1:15" s="149" customFormat="1" x14ac:dyDescent="0.3">
      <c r="A24" s="259"/>
      <c r="B24" s="259" t="s">
        <v>124</v>
      </c>
      <c r="C24" s="260"/>
      <c r="D24" s="260"/>
      <c r="E24" s="260"/>
      <c r="F24" s="261"/>
      <c r="G24" s="262"/>
      <c r="H24" s="262"/>
      <c r="I24" s="262"/>
      <c r="J24" s="263"/>
      <c r="K24" s="259"/>
      <c r="L24" s="259"/>
      <c r="M24" s="259"/>
      <c r="O24" s="150"/>
    </row>
    <row r="25" spans="1:15" s="149" customFormat="1" x14ac:dyDescent="0.3">
      <c r="A25" s="259"/>
      <c r="B25" s="259" t="s">
        <v>125</v>
      </c>
      <c r="C25" s="260"/>
      <c r="D25" s="260"/>
      <c r="E25" s="260"/>
      <c r="F25" s="261"/>
      <c r="G25" s="262"/>
      <c r="H25" s="262"/>
      <c r="I25" s="262"/>
      <c r="J25" s="263"/>
      <c r="K25" s="259"/>
      <c r="L25" s="259"/>
      <c r="M25" s="259"/>
      <c r="O25" s="150"/>
    </row>
    <row r="26" spans="1:15" s="149" customFormat="1" x14ac:dyDescent="0.3">
      <c r="A26" s="259"/>
      <c r="B26" s="259" t="s">
        <v>127</v>
      </c>
      <c r="C26" s="260"/>
      <c r="D26" s="260"/>
      <c r="E26" s="260"/>
      <c r="F26" s="261"/>
      <c r="G26" s="262"/>
      <c r="H26" s="262"/>
      <c r="I26" s="262"/>
      <c r="J26" s="263"/>
      <c r="K26" s="259"/>
      <c r="L26" s="259"/>
      <c r="M26" s="259"/>
      <c r="O26" s="150"/>
    </row>
    <row r="27" spans="1:15" s="149" customFormat="1" x14ac:dyDescent="0.3">
      <c r="A27" s="259"/>
      <c r="B27" s="259" t="s">
        <v>126</v>
      </c>
      <c r="C27" s="260"/>
      <c r="D27" s="260"/>
      <c r="E27" s="260"/>
      <c r="F27" s="261"/>
      <c r="G27" s="262"/>
      <c r="H27" s="262"/>
      <c r="I27" s="262"/>
      <c r="J27" s="263"/>
      <c r="K27" s="259"/>
      <c r="L27" s="259"/>
      <c r="M27" s="259"/>
      <c r="O27" s="150"/>
    </row>
    <row r="28" spans="1:15" s="149" customFormat="1" x14ac:dyDescent="0.3">
      <c r="A28" s="259"/>
      <c r="B28" s="259"/>
      <c r="C28" s="260"/>
      <c r="D28" s="260"/>
      <c r="E28" s="260"/>
      <c r="F28" s="261"/>
      <c r="G28" s="262"/>
      <c r="H28" s="262"/>
      <c r="I28" s="262"/>
      <c r="J28" s="263"/>
      <c r="K28" s="259"/>
      <c r="L28" s="259"/>
      <c r="M28" s="259"/>
      <c r="O28" s="150"/>
    </row>
    <row r="29" spans="1:15" s="151" customFormat="1" ht="17.25" x14ac:dyDescent="0.3">
      <c r="A29" s="264"/>
      <c r="B29" s="264" t="s">
        <v>3</v>
      </c>
      <c r="C29" s="265"/>
      <c r="D29" s="265"/>
      <c r="E29" s="265"/>
      <c r="F29" s="266"/>
      <c r="G29" s="267"/>
      <c r="H29" s="267"/>
      <c r="I29" s="267"/>
      <c r="J29" s="268">
        <f>IF(J6&gt;0,J16+J17,0)</f>
        <v>498</v>
      </c>
      <c r="K29" s="264"/>
      <c r="L29" s="264"/>
      <c r="M29" s="264"/>
      <c r="O29" s="152"/>
    </row>
    <row r="30" spans="1:15" x14ac:dyDescent="0.3">
      <c r="A30" s="244"/>
      <c r="B30" s="269"/>
      <c r="C30" s="270"/>
      <c r="D30" s="270"/>
      <c r="E30" s="270"/>
      <c r="F30" s="271"/>
      <c r="G30" s="272"/>
      <c r="H30" s="272"/>
      <c r="I30" s="272"/>
      <c r="J30" s="273"/>
      <c r="K30" s="244"/>
      <c r="L30" s="244"/>
      <c r="M30" s="244"/>
    </row>
    <row r="31" spans="1:15" ht="20.25" customHeight="1" x14ac:dyDescent="0.35">
      <c r="A31" s="244"/>
      <c r="B31" s="249" t="s">
        <v>31</v>
      </c>
      <c r="C31" s="245"/>
      <c r="D31" s="245"/>
      <c r="F31" s="255" t="s">
        <v>167</v>
      </c>
      <c r="G31" s="274" t="s">
        <v>169</v>
      </c>
      <c r="H31" s="274" t="s">
        <v>170</v>
      </c>
      <c r="I31" s="274" t="s">
        <v>113</v>
      </c>
      <c r="J31" s="250"/>
      <c r="K31" s="244"/>
      <c r="L31" s="244"/>
      <c r="M31" s="244"/>
    </row>
    <row r="32" spans="1:15" x14ac:dyDescent="0.3">
      <c r="A32" s="244"/>
      <c r="B32" s="244"/>
      <c r="C32" s="245"/>
      <c r="D32" s="245"/>
      <c r="E32" s="245"/>
      <c r="F32" s="246"/>
      <c r="G32" s="247"/>
      <c r="H32" s="275"/>
      <c r="I32" s="275"/>
      <c r="J32" s="250"/>
      <c r="K32" s="244"/>
      <c r="L32" s="244"/>
      <c r="M32" s="244"/>
    </row>
    <row r="33" spans="1:13" x14ac:dyDescent="0.3">
      <c r="A33" s="244"/>
      <c r="B33" s="244" t="s">
        <v>105</v>
      </c>
      <c r="C33" s="321">
        <v>2</v>
      </c>
      <c r="D33" s="321"/>
      <c r="E33" s="276"/>
      <c r="F33" s="234">
        <v>70</v>
      </c>
      <c r="G33" s="232"/>
      <c r="H33" s="233">
        <v>0</v>
      </c>
      <c r="I33" s="230">
        <v>1</v>
      </c>
      <c r="J33" s="250">
        <f>IF(C33&lt;&gt;"keine",MROUND(C33*(F33+G33*J$16+H33*J$14*0.1),I33),"--")</f>
        <v>140</v>
      </c>
      <c r="K33" s="244"/>
      <c r="L33" s="244"/>
      <c r="M33" s="244"/>
    </row>
    <row r="34" spans="1:13" x14ac:dyDescent="0.3">
      <c r="A34" s="244"/>
      <c r="B34" s="244"/>
      <c r="C34" s="277"/>
      <c r="D34" s="277"/>
      <c r="E34" s="277"/>
      <c r="F34" s="246"/>
      <c r="G34" s="247"/>
      <c r="H34" s="278"/>
      <c r="I34" s="279"/>
      <c r="J34" s="250"/>
      <c r="K34" s="244"/>
      <c r="L34" s="244"/>
      <c r="M34" s="244"/>
    </row>
    <row r="35" spans="1:13" x14ac:dyDescent="0.3">
      <c r="A35" s="244"/>
      <c r="B35" s="244" t="s">
        <v>106</v>
      </c>
      <c r="C35" s="321" t="s">
        <v>41</v>
      </c>
      <c r="D35" s="321"/>
      <c r="E35" s="276"/>
      <c r="F35" s="234">
        <v>50</v>
      </c>
      <c r="G35" s="232"/>
      <c r="H35" s="233"/>
      <c r="I35" s="230">
        <v>1</v>
      </c>
      <c r="J35" s="250" t="str">
        <f>IF(C35&lt;&gt;"keine",MROUND(C35*(F35+G35*J$16+H35*J$14*0.1),I35),"--")</f>
        <v>--</v>
      </c>
      <c r="K35" s="244"/>
      <c r="L35" s="244"/>
      <c r="M35" s="244"/>
    </row>
    <row r="36" spans="1:13" x14ac:dyDescent="0.3">
      <c r="A36" s="244"/>
      <c r="B36" s="244"/>
      <c r="C36" s="277"/>
      <c r="D36" s="277"/>
      <c r="E36" s="277"/>
      <c r="F36" s="246"/>
      <c r="G36" s="247"/>
      <c r="H36" s="278"/>
      <c r="I36" s="279"/>
      <c r="J36" s="250"/>
      <c r="K36" s="244"/>
      <c r="L36" s="244"/>
      <c r="M36" s="244"/>
    </row>
    <row r="37" spans="1:13" x14ac:dyDescent="0.3">
      <c r="A37" s="244"/>
      <c r="B37" s="244" t="s">
        <v>107</v>
      </c>
      <c r="C37" s="321" t="s">
        <v>41</v>
      </c>
      <c r="D37" s="321"/>
      <c r="E37" s="276"/>
      <c r="F37" s="234"/>
      <c r="G37" s="232"/>
      <c r="H37" s="233">
        <v>2</v>
      </c>
      <c r="I37" s="230">
        <v>1</v>
      </c>
      <c r="J37" s="250" t="str">
        <f>IF(C37&lt;&gt;"keine",MROUND(C37*(F37+G37*J$16+H37*J$14*0.1),I37),"--")</f>
        <v>--</v>
      </c>
      <c r="K37" s="244"/>
      <c r="L37" s="244"/>
      <c r="M37" s="244"/>
    </row>
    <row r="38" spans="1:13" x14ac:dyDescent="0.3">
      <c r="A38" s="244"/>
      <c r="B38" s="244"/>
      <c r="C38" s="245"/>
      <c r="D38" s="245"/>
      <c r="E38" s="245"/>
      <c r="F38" s="246"/>
      <c r="G38" s="247"/>
      <c r="H38" s="278"/>
      <c r="I38" s="279"/>
      <c r="J38" s="250"/>
      <c r="K38" s="244"/>
      <c r="L38" s="244"/>
      <c r="M38" s="244"/>
    </row>
    <row r="39" spans="1:13" x14ac:dyDescent="0.3">
      <c r="A39" s="244"/>
      <c r="B39" s="244" t="s">
        <v>108</v>
      </c>
      <c r="C39" s="321" t="s">
        <v>41</v>
      </c>
      <c r="D39" s="321"/>
      <c r="E39" s="276"/>
      <c r="F39" s="234">
        <v>100</v>
      </c>
      <c r="G39" s="232"/>
      <c r="H39" s="233"/>
      <c r="I39" s="230">
        <v>1</v>
      </c>
      <c r="J39" s="250" t="str">
        <f>IF(C39&lt;&gt;"keine",MROUND(C39*(F39+G39*J$16+H39*J$14*0.1),I39),"--")</f>
        <v>--</v>
      </c>
      <c r="K39" s="244"/>
      <c r="L39" s="244"/>
      <c r="M39" s="244"/>
    </row>
    <row r="40" spans="1:13" x14ac:dyDescent="0.3">
      <c r="A40" s="244"/>
      <c r="B40" s="244"/>
      <c r="C40" s="276"/>
      <c r="D40" s="276"/>
      <c r="E40" s="276"/>
      <c r="F40" s="280"/>
      <c r="G40" s="247"/>
      <c r="H40" s="278"/>
      <c r="I40" s="279"/>
      <c r="J40" s="250"/>
      <c r="K40" s="244"/>
      <c r="L40" s="244"/>
      <c r="M40" s="244"/>
    </row>
    <row r="41" spans="1:13" x14ac:dyDescent="0.3">
      <c r="A41" s="244"/>
      <c r="B41" s="244" t="s">
        <v>111</v>
      </c>
      <c r="C41" s="321" t="s">
        <v>41</v>
      </c>
      <c r="D41" s="321"/>
      <c r="E41" s="276"/>
      <c r="F41" s="234"/>
      <c r="G41" s="232"/>
      <c r="H41" s="233">
        <v>2</v>
      </c>
      <c r="I41" s="230">
        <v>1</v>
      </c>
      <c r="J41" s="250" t="str">
        <f>IF(C41&lt;&gt;"keine",MROUND(C41*(F41+G41*J$16+H41*J$14*0.1),I41),"--")</f>
        <v>--</v>
      </c>
      <c r="K41" s="244"/>
      <c r="L41" s="244"/>
      <c r="M41" s="244"/>
    </row>
    <row r="42" spans="1:13" x14ac:dyDescent="0.3">
      <c r="A42" s="244"/>
      <c r="B42" s="244"/>
      <c r="C42" s="245"/>
      <c r="D42" s="245"/>
      <c r="E42" s="245"/>
      <c r="F42" s="246"/>
      <c r="G42" s="247"/>
      <c r="H42" s="278"/>
      <c r="I42" s="279"/>
      <c r="J42" s="250"/>
      <c r="K42" s="244"/>
      <c r="L42" s="244"/>
      <c r="M42" s="244"/>
    </row>
    <row r="43" spans="1:13" x14ac:dyDescent="0.3">
      <c r="A43" s="244"/>
      <c r="B43" s="244" t="s">
        <v>110</v>
      </c>
      <c r="C43" s="175" t="s">
        <v>223</v>
      </c>
      <c r="D43" s="245"/>
      <c r="E43" s="245"/>
      <c r="F43" s="217">
        <v>70</v>
      </c>
      <c r="G43" s="232"/>
      <c r="H43" s="233"/>
      <c r="I43" s="230">
        <v>1</v>
      </c>
      <c r="J43" s="250">
        <f>IF(C43="x",MROUND(F43+G43*J$16+H43*J$14*0.1,I43),"--")</f>
        <v>70</v>
      </c>
      <c r="K43" s="244"/>
      <c r="L43" s="244"/>
      <c r="M43" s="244"/>
    </row>
    <row r="44" spans="1:13" x14ac:dyDescent="0.3">
      <c r="A44" s="244"/>
      <c r="B44" s="244"/>
      <c r="C44" s="245"/>
      <c r="D44" s="245"/>
      <c r="E44" s="245"/>
      <c r="F44" s="246"/>
      <c r="G44" s="247"/>
      <c r="H44" s="278"/>
      <c r="I44" s="279"/>
      <c r="J44" s="250"/>
      <c r="K44" s="244"/>
      <c r="L44" s="244"/>
      <c r="M44" s="244"/>
    </row>
    <row r="45" spans="1:13" x14ac:dyDescent="0.3">
      <c r="A45" s="244"/>
      <c r="B45" s="244" t="s">
        <v>91</v>
      </c>
      <c r="C45" s="175"/>
      <c r="D45" s="245"/>
      <c r="E45" s="245"/>
      <c r="F45" s="217"/>
      <c r="G45" s="232">
        <v>0.25</v>
      </c>
      <c r="H45" s="233"/>
      <c r="I45" s="230">
        <v>1</v>
      </c>
      <c r="J45" s="250" t="str">
        <f>IF(C45="x",MROUND(F45+G45*J$16+H45*J$14*0.1,I45),"--")</f>
        <v>--</v>
      </c>
      <c r="K45" s="244"/>
      <c r="L45" s="244"/>
      <c r="M45" s="244"/>
    </row>
    <row r="46" spans="1:13" x14ac:dyDescent="0.3">
      <c r="A46" s="244"/>
      <c r="B46" s="244"/>
      <c r="C46" s="245"/>
      <c r="D46" s="245"/>
      <c r="E46" s="245"/>
      <c r="F46" s="246"/>
      <c r="G46" s="247"/>
      <c r="H46" s="278"/>
      <c r="I46" s="279"/>
      <c r="J46" s="250"/>
      <c r="K46" s="244"/>
      <c r="L46" s="244"/>
      <c r="M46" s="244"/>
    </row>
    <row r="47" spans="1:13" x14ac:dyDescent="0.3">
      <c r="A47" s="244"/>
      <c r="B47" s="244" t="s">
        <v>131</v>
      </c>
      <c r="C47" s="175"/>
      <c r="D47" s="245"/>
      <c r="E47" s="245"/>
      <c r="F47" s="217">
        <v>70</v>
      </c>
      <c r="G47" s="232"/>
      <c r="H47" s="233"/>
      <c r="I47" s="230">
        <v>1</v>
      </c>
      <c r="J47" s="250" t="str">
        <f>IF(C47="x",MROUND(F47+G47*J$16+H47*J$14*0.1,I47),"--")</f>
        <v>--</v>
      </c>
      <c r="K47" s="244"/>
      <c r="L47" s="244"/>
      <c r="M47" s="244"/>
    </row>
    <row r="48" spans="1:13" x14ac:dyDescent="0.3">
      <c r="A48" s="244"/>
      <c r="B48" s="244"/>
      <c r="C48" s="281"/>
      <c r="D48" s="245"/>
      <c r="E48" s="245"/>
      <c r="F48" s="246"/>
      <c r="G48" s="247"/>
      <c r="H48" s="278"/>
      <c r="I48" s="279"/>
      <c r="J48" s="250"/>
      <c r="K48" s="244"/>
      <c r="L48" s="244"/>
      <c r="M48" s="244"/>
    </row>
    <row r="49" spans="1:15" x14ac:dyDescent="0.3">
      <c r="A49" s="244"/>
      <c r="B49" s="244" t="s">
        <v>109</v>
      </c>
      <c r="C49" s="175"/>
      <c r="D49" s="245"/>
      <c r="E49" s="245"/>
      <c r="F49" s="217">
        <v>50</v>
      </c>
      <c r="G49" s="232"/>
      <c r="H49" s="233"/>
      <c r="I49" s="230">
        <v>1</v>
      </c>
      <c r="J49" s="250" t="str">
        <f>IF(C49="x",MROUND(F49+G49*J$16+H49*J$14*0.1,I49),"--")</f>
        <v>--</v>
      </c>
      <c r="K49" s="244"/>
      <c r="L49" s="244"/>
      <c r="M49" s="244"/>
    </row>
    <row r="50" spans="1:15" x14ac:dyDescent="0.3">
      <c r="A50" s="244"/>
      <c r="B50" s="244"/>
      <c r="C50" s="276"/>
      <c r="D50" s="276"/>
      <c r="E50" s="276"/>
      <c r="F50" s="280"/>
      <c r="G50" s="247"/>
      <c r="H50" s="278"/>
      <c r="I50" s="279"/>
      <c r="J50" s="250"/>
      <c r="K50" s="244"/>
      <c r="L50" s="244"/>
      <c r="M50" s="244"/>
    </row>
    <row r="51" spans="1:15" x14ac:dyDescent="0.3">
      <c r="A51" s="244"/>
      <c r="B51" s="244" t="s">
        <v>15</v>
      </c>
      <c r="C51" s="321" t="s">
        <v>27</v>
      </c>
      <c r="D51" s="321"/>
      <c r="E51" s="276"/>
      <c r="F51" s="234">
        <v>5</v>
      </c>
      <c r="G51" s="282" t="s">
        <v>175</v>
      </c>
      <c r="H51" s="278"/>
      <c r="I51" s="279"/>
      <c r="J51" s="250" t="str">
        <f>IF(C51="Überweisung",F51,"--")</f>
        <v>--</v>
      </c>
      <c r="K51" s="244"/>
      <c r="L51" s="244"/>
      <c r="M51" s="244"/>
    </row>
    <row r="52" spans="1:15" ht="9" customHeight="1" x14ac:dyDescent="0.3">
      <c r="A52" s="244"/>
      <c r="B52" s="244"/>
      <c r="C52" s="245"/>
      <c r="D52" s="245"/>
      <c r="E52" s="245"/>
      <c r="F52" s="246"/>
      <c r="G52" s="247"/>
      <c r="H52" s="247"/>
      <c r="I52" s="247"/>
      <c r="J52" s="250"/>
      <c r="K52" s="244"/>
      <c r="L52" s="244"/>
      <c r="M52" s="244"/>
    </row>
    <row r="53" spans="1:15" x14ac:dyDescent="0.3">
      <c r="A53" s="244"/>
      <c r="B53" s="269"/>
      <c r="C53" s="270"/>
      <c r="D53" s="270"/>
      <c r="E53" s="270"/>
      <c r="F53" s="271"/>
      <c r="G53" s="272"/>
      <c r="H53" s="272"/>
      <c r="I53" s="272"/>
      <c r="J53" s="273"/>
      <c r="K53" s="244"/>
      <c r="L53" s="244"/>
      <c r="M53" s="244"/>
    </row>
    <row r="54" spans="1:15" x14ac:dyDescent="0.3">
      <c r="A54" s="244"/>
      <c r="B54" s="244" t="s">
        <v>29</v>
      </c>
      <c r="C54" s="245"/>
      <c r="D54" s="245"/>
      <c r="E54" s="245"/>
      <c r="F54" s="246"/>
      <c r="G54" s="247"/>
      <c r="H54" s="247"/>
      <c r="I54" s="247"/>
      <c r="J54" s="250">
        <f>SUM(J29:J51)</f>
        <v>708</v>
      </c>
      <c r="K54" s="244"/>
      <c r="L54" s="244"/>
      <c r="M54" s="244"/>
    </row>
    <row r="55" spans="1:15" x14ac:dyDescent="0.3">
      <c r="A55" s="244"/>
      <c r="B55" s="283" t="s">
        <v>164</v>
      </c>
      <c r="C55" s="284"/>
      <c r="D55" s="285"/>
      <c r="E55" s="285"/>
      <c r="F55" s="285" t="s">
        <v>30</v>
      </c>
      <c r="G55" s="232">
        <v>0.19</v>
      </c>
      <c r="H55" s="286"/>
      <c r="I55" s="286"/>
      <c r="J55" s="287">
        <f>J54*G55</f>
        <v>134.52000000000001</v>
      </c>
      <c r="K55" s="244"/>
      <c r="L55" s="244"/>
      <c r="M55" s="244"/>
    </row>
    <row r="56" spans="1:15" x14ac:dyDescent="0.3">
      <c r="A56" s="244"/>
      <c r="B56" s="244"/>
      <c r="C56" s="245"/>
      <c r="D56" s="245"/>
      <c r="E56" s="245"/>
      <c r="F56" s="246"/>
      <c r="G56" s="247"/>
      <c r="H56" s="247"/>
      <c r="I56" s="247"/>
      <c r="J56" s="250"/>
      <c r="K56" s="244"/>
      <c r="L56" s="244"/>
      <c r="M56" s="244"/>
    </row>
    <row r="57" spans="1:15" s="153" customFormat="1" ht="21" thickBot="1" x14ac:dyDescent="0.4">
      <c r="A57" s="288"/>
      <c r="B57" s="289" t="s">
        <v>165</v>
      </c>
      <c r="C57" s="290"/>
      <c r="D57" s="290"/>
      <c r="E57" s="290"/>
      <c r="F57" s="291"/>
      <c r="G57" s="292"/>
      <c r="H57" s="292"/>
      <c r="I57" s="292"/>
      <c r="J57" s="293">
        <f>J54+J55</f>
        <v>842.52</v>
      </c>
      <c r="K57" s="288"/>
      <c r="L57" s="288"/>
      <c r="M57" s="288"/>
      <c r="O57" s="154"/>
    </row>
    <row r="58" spans="1:15" ht="17.25" thickTop="1" x14ac:dyDescent="0.3">
      <c r="A58" s="244"/>
      <c r="B58" s="244"/>
      <c r="C58" s="245"/>
      <c r="D58" s="245"/>
      <c r="E58" s="245"/>
      <c r="F58" s="246"/>
      <c r="G58" s="247"/>
      <c r="H58" s="247"/>
      <c r="I58" s="247"/>
      <c r="J58" s="250"/>
      <c r="K58" s="244"/>
      <c r="L58" s="244"/>
      <c r="M58" s="244"/>
    </row>
    <row r="59" spans="1:15" x14ac:dyDescent="0.3">
      <c r="A59" s="244"/>
      <c r="B59" s="244"/>
      <c r="C59" s="245"/>
      <c r="D59" s="245"/>
      <c r="E59" s="245"/>
      <c r="F59" s="246"/>
      <c r="G59" s="247"/>
      <c r="H59" s="247"/>
      <c r="I59" s="247"/>
      <c r="J59" s="250"/>
      <c r="K59" s="244"/>
      <c r="L59" s="244"/>
      <c r="M59" s="244"/>
    </row>
    <row r="60" spans="1:15" x14ac:dyDescent="0.3">
      <c r="A60" s="244"/>
      <c r="B60" s="244"/>
      <c r="C60" s="245"/>
      <c r="D60" s="245"/>
      <c r="E60" s="245"/>
      <c r="F60" s="246"/>
      <c r="G60" s="247"/>
      <c r="H60" s="247"/>
      <c r="I60" s="247"/>
      <c r="J60" s="250"/>
      <c r="K60" s="244"/>
      <c r="L60" s="244"/>
      <c r="M60" s="244"/>
    </row>
    <row r="61" spans="1:15" x14ac:dyDescent="0.3">
      <c r="A61" s="244"/>
      <c r="B61" s="244"/>
      <c r="C61" s="245"/>
      <c r="D61" s="245"/>
      <c r="E61" s="245"/>
      <c r="F61" s="246"/>
      <c r="G61" s="247"/>
      <c r="H61" s="247"/>
      <c r="I61" s="247"/>
      <c r="J61" s="250"/>
      <c r="K61" s="244"/>
      <c r="L61" s="244"/>
      <c r="M61" s="244"/>
    </row>
    <row r="62" spans="1:15" x14ac:dyDescent="0.3">
      <c r="A62" s="244"/>
      <c r="B62" s="244"/>
      <c r="C62" s="245"/>
      <c r="D62" s="245"/>
      <c r="E62" s="245"/>
      <c r="F62" s="246"/>
      <c r="G62" s="247"/>
      <c r="H62" s="247"/>
      <c r="I62" s="247"/>
      <c r="J62" s="250"/>
      <c r="K62" s="244"/>
      <c r="L62" s="244"/>
      <c r="M62" s="244"/>
    </row>
    <row r="63" spans="1:15" x14ac:dyDescent="0.3">
      <c r="A63" s="244"/>
      <c r="B63" s="244"/>
      <c r="C63" s="245"/>
      <c r="D63" s="245"/>
      <c r="E63" s="245"/>
      <c r="F63" s="246"/>
      <c r="G63" s="247"/>
      <c r="H63" s="247"/>
      <c r="I63" s="247"/>
      <c r="J63" s="250"/>
      <c r="K63" s="244"/>
      <c r="L63" s="244"/>
      <c r="M63" s="244"/>
    </row>
    <row r="64" spans="1:15" x14ac:dyDescent="0.3">
      <c r="A64" s="244"/>
      <c r="B64" s="244"/>
      <c r="C64" s="245"/>
      <c r="D64" s="245"/>
      <c r="E64" s="245"/>
      <c r="F64" s="246"/>
      <c r="G64" s="247"/>
      <c r="H64" s="247"/>
      <c r="I64" s="247"/>
      <c r="J64" s="250"/>
      <c r="K64" s="244"/>
      <c r="L64" s="244"/>
      <c r="M64" s="244"/>
    </row>
    <row r="65" spans="1:13" x14ac:dyDescent="0.3">
      <c r="A65" s="244"/>
      <c r="B65" s="244"/>
      <c r="C65" s="245"/>
      <c r="D65" s="245"/>
      <c r="E65" s="245"/>
      <c r="F65" s="246"/>
      <c r="G65" s="247"/>
      <c r="H65" s="247"/>
      <c r="I65" s="247"/>
      <c r="J65" s="250"/>
      <c r="K65" s="244"/>
      <c r="L65" s="244"/>
      <c r="M65" s="244"/>
    </row>
    <row r="66" spans="1:13" x14ac:dyDescent="0.3">
      <c r="A66" s="244"/>
      <c r="B66" s="244"/>
      <c r="C66" s="245"/>
      <c r="D66" s="245"/>
      <c r="E66" s="245"/>
      <c r="F66" s="246"/>
      <c r="G66" s="247"/>
      <c r="H66" s="247"/>
      <c r="I66" s="247"/>
      <c r="J66" s="250"/>
      <c r="K66" s="244"/>
      <c r="L66" s="244"/>
      <c r="M66" s="244"/>
    </row>
    <row r="67" spans="1:13" x14ac:dyDescent="0.3">
      <c r="A67" s="244"/>
      <c r="B67" s="244"/>
      <c r="C67" s="245"/>
      <c r="D67" s="245"/>
      <c r="E67" s="245"/>
      <c r="F67" s="246"/>
      <c r="G67" s="247"/>
      <c r="H67" s="247"/>
      <c r="I67" s="247"/>
      <c r="J67" s="250"/>
      <c r="K67" s="244"/>
      <c r="L67" s="244"/>
      <c r="M67" s="244"/>
    </row>
    <row r="68" spans="1:13" x14ac:dyDescent="0.3">
      <c r="A68" s="244"/>
      <c r="B68" s="244"/>
      <c r="C68" s="245"/>
      <c r="D68" s="245"/>
      <c r="E68" s="245"/>
      <c r="F68" s="246"/>
      <c r="G68" s="247"/>
      <c r="H68" s="247"/>
      <c r="I68" s="247"/>
      <c r="J68" s="250"/>
      <c r="K68" s="244"/>
      <c r="L68" s="244"/>
      <c r="M68" s="244"/>
    </row>
    <row r="69" spans="1:13" x14ac:dyDescent="0.3">
      <c r="A69" s="244"/>
      <c r="B69" s="244"/>
      <c r="C69" s="245"/>
      <c r="D69" s="245"/>
      <c r="E69" s="245"/>
      <c r="F69" s="246"/>
      <c r="G69" s="247"/>
      <c r="H69" s="247"/>
      <c r="I69" s="247"/>
      <c r="J69" s="250"/>
      <c r="K69" s="244"/>
      <c r="L69" s="244"/>
      <c r="M69" s="244"/>
    </row>
    <row r="70" spans="1:13" x14ac:dyDescent="0.3">
      <c r="A70" s="244"/>
      <c r="B70" s="244"/>
      <c r="C70" s="245"/>
      <c r="D70" s="245"/>
      <c r="E70" s="245"/>
      <c r="F70" s="246"/>
      <c r="G70" s="247"/>
      <c r="H70" s="247"/>
      <c r="I70" s="247"/>
      <c r="J70" s="250"/>
      <c r="K70" s="244"/>
      <c r="L70" s="244"/>
      <c r="M70" s="244"/>
    </row>
    <row r="71" spans="1:13" x14ac:dyDescent="0.3">
      <c r="A71" s="244"/>
      <c r="B71" s="244"/>
      <c r="C71" s="245"/>
      <c r="D71" s="245"/>
      <c r="E71" s="245"/>
      <c r="F71" s="246"/>
      <c r="G71" s="247"/>
      <c r="H71" s="247"/>
      <c r="I71" s="247"/>
      <c r="J71" s="250"/>
      <c r="K71" s="244"/>
      <c r="L71" s="244"/>
      <c r="M71" s="244"/>
    </row>
    <row r="72" spans="1:13" x14ac:dyDescent="0.3">
      <c r="A72" s="244"/>
      <c r="B72" s="244"/>
      <c r="C72" s="245"/>
      <c r="D72" s="245"/>
      <c r="E72" s="245"/>
      <c r="F72" s="246"/>
      <c r="G72" s="247"/>
      <c r="H72" s="247"/>
      <c r="I72" s="247"/>
      <c r="J72" s="250"/>
      <c r="K72" s="244"/>
      <c r="L72" s="244"/>
      <c r="M72" s="244"/>
    </row>
  </sheetData>
  <sheetProtection algorithmName="SHA-512" hashValue="4mxLzY46PIHOHFz9wGQyEJ3JdHkHktxJHEOHilgWkJzcMESmIgiog7UrvYpUCe8M+LsDJQ7r47lVLlSUFtIGiw==" saltValue="Jm7yjZJAez30neVx13UTLw==" spinCount="100000" sheet="1" objects="1" scenarios="1"/>
  <mergeCells count="8">
    <mergeCell ref="B3:J3"/>
    <mergeCell ref="C51:D51"/>
    <mergeCell ref="C39:D39"/>
    <mergeCell ref="C41:D41"/>
    <mergeCell ref="C33:D33"/>
    <mergeCell ref="C35:D35"/>
    <mergeCell ref="C37:D37"/>
    <mergeCell ref="B4:J4"/>
  </mergeCells>
  <dataValidations count="8">
    <dataValidation type="list" allowBlank="1" showInputMessage="1" showErrorMessage="1" sqref="C33:D33">
      <formula1>"keine,1,2"</formula1>
    </dataValidation>
    <dataValidation type="whole" operator="greaterThan" allowBlank="1" showErrorMessage="1" error="Bitte geben Sie einen ganzzahligen Wert ein!" sqref="J6">
      <formula1>-1</formula1>
    </dataValidation>
    <dataValidation showInputMessage="1" showErrorMessage="1" sqref="F35"/>
    <dataValidation type="list" showInputMessage="1" showErrorMessage="1" sqref="C35:D35">
      <formula1>"keine,1,2"</formula1>
    </dataValidation>
    <dataValidation type="list" allowBlank="1" showInputMessage="1" showErrorMessage="1" sqref="C39:D39 C41:D41 C37:D37">
      <formula1>"keine,1,2,3,4,5,6,7,8,9,10"</formula1>
    </dataValidation>
    <dataValidation type="list" allowBlank="1" showInputMessage="1" showErrorMessage="1" sqref="C51:D51">
      <formula1>"Lastschrift,Überweisung"</formula1>
    </dataValidation>
    <dataValidation type="list" allowBlank="1" showInputMessage="1" showErrorMessage="1" sqref="B3 C3:D4 F3:J4">
      <formula1>"Honorarangebot für die Erstellung Ihrer Einkommensteuererklärung,Honorarvereinbarung für die Erstellung Ihrer Einkommensteuererklärung"</formula1>
    </dataValidation>
    <dataValidation type="decimal" allowBlank="1" showInputMessage="1" showErrorMessage="1" sqref="J18:J28">
      <formula1>2</formula1>
      <formula2>12</formula2>
    </dataValidation>
  </dataValidations>
  <pageMargins left="0.70866141732283472" right="0.70866141732283472" top="0.78740157480314965" bottom="0.78740157480314965" header="0.31496062992125984" footer="0.31496062992125984"/>
  <pageSetup paperSize="9" scale="70" fitToHeight="0"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 B (Abschluss)'!#REF!</xm:f>
          </x14:formula1>
          <xm:sqref>C50:D50 C40:D40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155a79cf-5ddf-44ee-880b-527c654d0ba2</BSO999929>
</file>

<file path=customXml/itemProps1.xml><?xml version="1.0" encoding="utf-8"?>
<ds:datastoreItem xmlns:ds="http://schemas.openxmlformats.org/officeDocument/2006/customXml" ds:itemID="{BC4283FC-1DA4-4AFF-A565-B9344FB07DB7}">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Beschreibung</vt:lpstr>
      <vt:lpstr>Stammdaten</vt:lpstr>
      <vt:lpstr>Finanzbuchführung</vt:lpstr>
      <vt:lpstr>Tab C (Fibu)</vt:lpstr>
      <vt:lpstr>Lohnabrechnung</vt:lpstr>
      <vt:lpstr>Jahresabschluss</vt:lpstr>
      <vt:lpstr>Auswahlfelder Abschluss</vt:lpstr>
      <vt:lpstr>Tab B (Abschluss)</vt:lpstr>
      <vt:lpstr>Einkommensteuer</vt:lpstr>
      <vt:lpstr>Tab A (Beratung)</vt:lpstr>
      <vt:lpstr>Einkommensteuer!Druckbereich</vt:lpstr>
      <vt:lpstr>Finanzbuchführung!Druckbereich</vt:lpstr>
      <vt:lpstr>Jahresabschluss!Druckbereich</vt:lpstr>
      <vt:lpstr>Lohnabrechnung!Druckbereich</vt:lpstr>
    </vt:vector>
  </TitlesOfParts>
  <Company>DATEV 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t01355a</dc:creator>
  <cp:lastModifiedBy>Torsten Dworzak</cp:lastModifiedBy>
  <cp:lastPrinted>2023-01-03T12:37:52Z</cp:lastPrinted>
  <dcterms:created xsi:type="dcterms:W3CDTF">2018-06-07T16:33:01Z</dcterms:created>
  <dcterms:modified xsi:type="dcterms:W3CDTF">2023-04-26T06:20:00Z</dcterms:modified>
</cp:coreProperties>
</file>